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1840" windowHeight="12090" tabRatio="0" firstSheet="7" activeTab="0"/>
  </bookViews>
  <sheets>
    <sheet name="Fixtures" sheetId="1" r:id="rId1"/>
    <sheet name="PlayOffs" sheetId="2" r:id="rId2"/>
    <sheet name="Sheet1" sheetId="3" state="hidden" r:id="rId3"/>
    <sheet name="Grid" sheetId="4" state="hidden" r:id="rId4"/>
    <sheet name="Ladders" sheetId="5" r:id="rId5"/>
    <sheet name="Qualif" sheetId="6" r:id="rId6"/>
    <sheet name="FinalsTop" sheetId="7" r:id="rId7"/>
    <sheet name="McRopod" sheetId="8" r:id="rId8"/>
    <sheet name="LaddersH" sheetId="9" r:id="rId9"/>
  </sheets>
  <definedNames>
    <definedName name="_xlnm.Print_Area" localSheetId="6">'FinalsTop'!$B$2:$W$19</definedName>
    <definedName name="_xlnm.Print_Area" localSheetId="0">'Fixtures'!$B$2:$K$44</definedName>
    <definedName name="_xlnm.Print_Area" localSheetId="3">'Grid'!$A$1</definedName>
    <definedName name="_xlnm.Print_Area" localSheetId="4">'Ladders'!$B$4:$L$54</definedName>
    <definedName name="_xlnm.Print_Area" localSheetId="8">'LaddersH'!$A$1</definedName>
    <definedName name="_xlnm.Print_Area" localSheetId="7">'McRopod'!$B$3:$J$117</definedName>
    <definedName name="_xlnm.Print_Area" localSheetId="5">'Qualif'!$B$2:$H$24</definedName>
    <definedName name="_xlnm.Print_Area" localSheetId="2">'Sheet1'!$A$1</definedName>
  </definedNames>
  <calcPr fullCalcOnLoad="1"/>
</workbook>
</file>

<file path=xl/sharedStrings.xml><?xml version="1.0" encoding="utf-8"?>
<sst xmlns="http://schemas.openxmlformats.org/spreadsheetml/2006/main" count="606" uniqueCount="286">
  <si>
    <t>No</t>
  </si>
  <si>
    <t>Group</t>
  </si>
  <si>
    <t>Venue</t>
  </si>
  <si>
    <t>Result</t>
  </si>
  <si>
    <t>v</t>
  </si>
  <si>
    <t>England</t>
  </si>
  <si>
    <t>P</t>
  </si>
  <si>
    <t>W</t>
  </si>
  <si>
    <t>D</t>
  </si>
  <si>
    <t>L</t>
  </si>
  <si>
    <t>F</t>
  </si>
  <si>
    <t>A</t>
  </si>
  <si>
    <t>GD</t>
  </si>
  <si>
    <t>Pts</t>
  </si>
  <si>
    <t>Third Place Teams</t>
  </si>
  <si>
    <t>If Group Tables are Final and sorted, these Teams have Qualified:</t>
  </si>
  <si>
    <t>A1</t>
  </si>
  <si>
    <t>A2</t>
  </si>
  <si>
    <t>v Runner-Up Group C</t>
  </si>
  <si>
    <t>B1</t>
  </si>
  <si>
    <t>B2</t>
  </si>
  <si>
    <t>v Runner-Up Group F</t>
  </si>
  <si>
    <t>C1</t>
  </si>
  <si>
    <t>C2</t>
  </si>
  <si>
    <t>v Runner-Up Group A</t>
  </si>
  <si>
    <t>D1</t>
  </si>
  <si>
    <t>D2</t>
  </si>
  <si>
    <t>E1</t>
  </si>
  <si>
    <t>v Runner-Up Group D</t>
  </si>
  <si>
    <t>E2</t>
  </si>
  <si>
    <t>F1</t>
  </si>
  <si>
    <t>v Runner-Up Group E</t>
  </si>
  <si>
    <t>F2</t>
  </si>
  <si>
    <t>v Runner-Up Group B</t>
  </si>
  <si>
    <t>I'm sure you'll have fun with this.  Use it to predict what will happen, and use it to keep tabs with what does happen.</t>
  </si>
  <si>
    <t>By entering a result - actual or predicted - everything else is calculated for you: which teams qualify</t>
  </si>
  <si>
    <t>Before you do anything else - let's maximise the image!  Go to &lt;View&gt;, then select &lt;Full Screen&gt;.  If you want</t>
  </si>
  <si>
    <t>to return to your normal screen layout afterwards, 'all you have to do is select &lt;View&gt;, and then &lt;Full Screen&gt; again.</t>
  </si>
  <si>
    <t>Instructions for use</t>
  </si>
  <si>
    <t>First Stage - Group Fixtures</t>
  </si>
  <si>
    <t>Go to the &lt;First Stage&gt; page.  There you’ll see all of the fixtures comprising the Group phase.</t>
  </si>
  <si>
    <t>The fixtures are shown by Group.  You’ll need to scroll down to see all the Groups’ fixtures.</t>
  </si>
  <si>
    <t>There are spaces for you to input the scores of a fixture.  You’ll need to make sure that only a whole positive number</t>
  </si>
  <si>
    <t>or a blank appears in these cells.  If anything else appears you'll get an error flag in the system: &lt;######&gt; for example.</t>
  </si>
  <si>
    <t>If ever this happens, check to make sure that you have not input something other than a whole positive number</t>
  </si>
  <si>
    <t>or a blank.  If it’s not clear where you have input something else into a Group’s results cells, delete that Group’s</t>
  </si>
  <si>
    <t xml:space="preserve">results and start again. </t>
  </si>
  <si>
    <t>Sorting the Group Tables</t>
  </si>
  <si>
    <t>After inputting the results of a Group, press the &lt;Sort&gt; button for that Group.  You’ll instantly be taken to that</t>
  </si>
  <si>
    <t xml:space="preserve">Group’s Table, which will be correctly sorted. </t>
  </si>
  <si>
    <t>You can go back to the &lt;First Stage&gt; page by pressing the button at the top of the &lt;Ladders&gt; page.</t>
  </si>
  <si>
    <t>You can re-order a Group Table when Points, Goal Difference, and Goals For are equal between two or</t>
  </si>
  <si>
    <t>In most cases these three criteria will separate teams into their correct order.  However where they are equal,</t>
  </si>
  <si>
    <t>and where a fourth or subsequent criterion comes into play, the McRopod Concepts' Sport System’s</t>
  </si>
  <si>
    <t>standard automatic sort function is unable to take that into account.</t>
  </si>
  <si>
    <t>Eventually, it may even come down to a ballot between the sides.  Whichever way is used to split any</t>
  </si>
  <si>
    <t>teams equal on these three criteria, the McRopod Sports System will be able to ensure your Tables take this into</t>
  </si>
  <si>
    <t>account.</t>
  </si>
  <si>
    <t>Because all of these can’t be loaded into the McRopod Concepts' Sports System without asking</t>
  </si>
  <si>
    <t>you to keep track of far too much detail, the system:</t>
  </si>
  <si>
    <t>·    flags whenever there are two teams in a Group with exactly the same record,</t>
  </si>
  <si>
    <t>·    lets you know which teams these are, and</t>
  </si>
  <si>
    <t>·    asks if you want to swap their order.</t>
  </si>
  <si>
    <t>There are three buttons in the far right column of each Group Table, headed &lt;Swap?&gt;.  The buttons are</t>
  </si>
  <si>
    <t>labelled &lt; 2 &gt; 1 &gt;, &lt; 3 &gt; 2 &gt;, and &lt; 4 &gt; 3 &gt; respectively.  When you press &lt; 2 &gt; 1 &gt;, the team ranked second</t>
  </si>
  <si>
    <t>swaps places with the first ranked team.</t>
  </si>
  <si>
    <t>A message appears letting you know whenever such a tie has occurred, which positions are affected,</t>
  </si>
  <si>
    <t>and inviting you to swap these two teams.  You will only need to swap when the Group Table ranking</t>
  </si>
  <si>
    <t>is incorrect because of the fourth or subsequent criteria.</t>
  </si>
  <si>
    <t>If you see a &lt;No&gt; under the &lt;Swap?&gt; heading in a Group Table, the Table is correct and should be left</t>
  </si>
  <si>
    <t>as it is.  Although you could re-arrange the Group rankings by doing this swap,  if you do, it’ll be out of order.</t>
  </si>
  <si>
    <t>You can correct it by pressing the &lt;Sort&gt; button for that Group.</t>
  </si>
  <si>
    <t>After all the games of a Group have been played, that Group Table lets you know it is the Final Table.</t>
  </si>
  <si>
    <t>Until each of the Group Tables are finalised, the elimination phase games are not confirmed.</t>
  </si>
  <si>
    <t>The Second Stage - Elimination Round</t>
  </si>
  <si>
    <t>Sixteen of the 24 teams advance to the Second Phase - an elimination series.  The Group winners and runners-up</t>
  </si>
  <si>
    <t>qualify, as do four of the six third-placed teams.  To see which are the four third-placed qualifiers, you'll need</t>
  </si>
  <si>
    <t>to sort the additional 3rds Table.</t>
  </si>
  <si>
    <t>Once a Group’s games have all been played, and subject only to any swapping needed to separate tied teams</t>
  </si>
  <si>
    <t>on the fourth criterion, those teams from that Group which are confirmed as having advanced to the Second Stage</t>
  </si>
  <si>
    <t>can be seen on the &lt;Qualified&gt; page.  You can get there from any other page by pressing the &lt;Qualified&gt; button.</t>
  </si>
  <si>
    <t>All but the four third-placed qualifiers are also added to their Second Stage position in the draw at that time.</t>
  </si>
  <si>
    <t xml:space="preserve">The Second Stage matches can be seen by pressing the &lt;2nd Stage&gt; button. </t>
  </si>
  <si>
    <t>The four third-placed qualifiers will be identified for you on the 3rds Table, but their place in the 2nd Stage draw</t>
  </si>
  <si>
    <t>is dependent upon which combination of four they are - the draw is arranged to ensure teams from the same</t>
  </si>
  <si>
    <t>Group don't meet in the first round of the 2nd Stage, so the number of combinations that can arise is too great</t>
  </si>
  <si>
    <t>for an automatic placement of these teams.  There's space for you to add these four teams in the same spots</t>
  </si>
  <si>
    <t>in the draw as FIFA arranges.  Just insert the team names in the appropriate yellow cells.</t>
  </si>
  <si>
    <t xml:space="preserve">in the first set of yellow results cells, the McRopod Concepts' Sports System detects if </t>
  </si>
  <si>
    <t>there has been a winner and advances that team to the next round.</t>
  </si>
  <si>
    <t xml:space="preserve">  </t>
  </si>
  <si>
    <t>If you input a score that means the match is a draw, the match is then determined on a penalty shoot-out.</t>
  </si>
  <si>
    <t>The second set of yellow cells is for the penalties.  As there must be a winner this way, one team has to advance.</t>
  </si>
  <si>
    <t>By progressively entering scores in the Elimination tree, you’ll get to the Final.</t>
  </si>
  <si>
    <t>or a blank.</t>
  </si>
  <si>
    <t/>
  </si>
  <si>
    <t>Need a Sports System for a League you are running?</t>
  </si>
  <si>
    <t>McRopod Concepts can design a Sports System for a League you are running, or a tournament you organise.</t>
  </si>
  <si>
    <t xml:space="preserve">McRopod Concepts can also design a Sports System for a League or Tournament you are following.  </t>
  </si>
  <si>
    <t>Alan Clark</t>
  </si>
  <si>
    <t>McRopod Concepts</t>
  </si>
  <si>
    <t>Pre</t>
  </si>
  <si>
    <t>Post</t>
  </si>
  <si>
    <t>F3</t>
  </si>
  <si>
    <t>C3</t>
  </si>
  <si>
    <t>B3</t>
  </si>
  <si>
    <t>A3</t>
  </si>
  <si>
    <t>D3</t>
  </si>
  <si>
    <t>E3</t>
  </si>
  <si>
    <t>Date</t>
  </si>
  <si>
    <t>Time</t>
  </si>
  <si>
    <t xml:space="preserve">Istanbul </t>
  </si>
  <si>
    <t xml:space="preserve">Kayseri </t>
  </si>
  <si>
    <t xml:space="preserve">Trabzon </t>
  </si>
  <si>
    <t xml:space="preserve">Rize </t>
  </si>
  <si>
    <t xml:space="preserve">Gaziantep </t>
  </si>
  <si>
    <t xml:space="preserve">Antalya </t>
  </si>
  <si>
    <t xml:space="preserve">Bursa </t>
  </si>
  <si>
    <t>If you'd like to have a Sports System designed, email &lt;mcropod@mcropod.com.au&gt;.</t>
  </si>
  <si>
    <t>Germany</t>
  </si>
  <si>
    <t>Sweden</t>
  </si>
  <si>
    <t>Switzerland</t>
  </si>
  <si>
    <t>France</t>
  </si>
  <si>
    <t>Spain</t>
  </si>
  <si>
    <t>GER</t>
  </si>
  <si>
    <t>ESP</t>
  </si>
  <si>
    <t>FRA</t>
  </si>
  <si>
    <t>ENG</t>
  </si>
  <si>
    <t>and which depart, which teams advance, which go home, and which teams get the UEFA medals.</t>
  </si>
  <si>
    <t>more teams, and the Table sort is not the way UEFA has it.</t>
  </si>
  <si>
    <t>Poland</t>
  </si>
  <si>
    <t>Ukraine</t>
  </si>
  <si>
    <t>Wales</t>
  </si>
  <si>
    <t>Slovakia</t>
  </si>
  <si>
    <t>Russia</t>
  </si>
  <si>
    <t>Croatia</t>
  </si>
  <si>
    <t>Czech Republic</t>
  </si>
  <si>
    <t>Belgium</t>
  </si>
  <si>
    <t>Italy</t>
  </si>
  <si>
    <t>Austria</t>
  </si>
  <si>
    <t>Hungary</t>
  </si>
  <si>
    <t>Portugal</t>
  </si>
  <si>
    <t>BEL</t>
  </si>
  <si>
    <t>AUT</t>
  </si>
  <si>
    <t>HUN</t>
  </si>
  <si>
    <t>POR</t>
  </si>
  <si>
    <t>When you enter a full-time score (or the final score where extra-time has been played)</t>
  </si>
  <si>
    <t>Rome</t>
  </si>
  <si>
    <t>Baku</t>
  </si>
  <si>
    <t>Denmark</t>
  </si>
  <si>
    <t>Finland</t>
  </si>
  <si>
    <t>Amsterdam</t>
  </si>
  <si>
    <t>North Macedonia</t>
  </si>
  <si>
    <t>Netherlands</t>
  </si>
  <si>
    <t>Scotland</t>
  </si>
  <si>
    <t>Munich</t>
  </si>
  <si>
    <t>DEN</t>
  </si>
  <si>
    <t>NDL</t>
  </si>
  <si>
    <t>SCO</t>
  </si>
  <si>
    <t>SLK</t>
  </si>
  <si>
    <t>v 3rd Placed Team (A/D/E/F)</t>
  </si>
  <si>
    <t>v 3rd Placed Team (D/E/F)</t>
  </si>
  <si>
    <t>v Winner Group A</t>
  </si>
  <si>
    <t>v 3rd Placed Team (A/B/C/D)</t>
  </si>
  <si>
    <t>v 3rd Placed Team (A/B/C)</t>
  </si>
  <si>
    <t>v Winner Group B/C/D</t>
  </si>
  <si>
    <t>v Winner Group E/F</t>
  </si>
  <si>
    <t>v Winner Group B/E/F</t>
  </si>
  <si>
    <t>Local Date and Time</t>
  </si>
  <si>
    <t>Cologne</t>
  </si>
  <si>
    <t>Stuttgart</t>
  </si>
  <si>
    <t>Albania</t>
  </si>
  <si>
    <t>Berlin</t>
  </si>
  <si>
    <t>Dortmund</t>
  </si>
  <si>
    <t>Hamburg</t>
  </si>
  <si>
    <t>Gelsenkirchen</t>
  </si>
  <si>
    <t>Dusseldorf</t>
  </si>
  <si>
    <t>Leipzig</t>
  </si>
  <si>
    <t>Slovenia</t>
  </si>
  <si>
    <t>Serbia</t>
  </si>
  <si>
    <t>Friday, June 14</t>
  </si>
  <si>
    <t>Group A: Germany vs. Scotland (Munich; 9 p.m. local / 3 p.m. ET)</t>
  </si>
  <si>
    <t>Saturday, June 15</t>
  </si>
  <si>
    <t>Group A: Hungary vs. Switzerland (Cologne; 3 p.m. local / 9 a.m. ET)</t>
  </si>
  <si>
    <t>Group B: Spain vs. Croatia (Berlin; 6 p.m. local / midday ET)</t>
  </si>
  <si>
    <t>Group B: Italy vs. Albania (Dortmund; 9 p.m. local / 3 p.m. ET)</t>
  </si>
  <si>
    <t>Sunday, June 16</t>
  </si>
  <si>
    <t>Group D: Playoff Winner A vs. Netherlands (Hamburg; 3 p.m. local / 9 a.m. ET)</t>
  </si>
  <si>
    <t>Group C: Slovenia vs. Denmark (Stuttgart; 6 p.m. local / midday ET)</t>
  </si>
  <si>
    <t>Group C: Serbia vs. England (Gelsenkirchen; 9 p.m. local / 3 p.m. ET)</t>
  </si>
  <si>
    <t>Monday, June 17</t>
  </si>
  <si>
    <t>Group E: Romania vs. Playoff Winner B (Munich; 3 p.m. local / 9 a.m. ET)</t>
  </si>
  <si>
    <t>Group E: Belgium vs. Slovakia (Frankfurt; 6 p.m. local / midday ET)</t>
  </si>
  <si>
    <t>Group D: Austria vs. France (Düsseldorf; 9 p.m. local / 3 p.m. ET)</t>
  </si>
  <si>
    <t>Tuesday, June 18</t>
  </si>
  <si>
    <t>Group F: Turkey vs. Playoff Winner C (Dortmund; 6 p.m. local / midday ET)</t>
  </si>
  <si>
    <t>Group F: Portugal vs. Czechia (Leipzig; 9 p.m. local / 3 p.m. ET)</t>
  </si>
  <si>
    <t>Wednesday, June 19</t>
  </si>
  <si>
    <t>Group B: Croatia vs. Albania (Hamburg; 3 p.m. local / 9 a.m. ET)</t>
  </si>
  <si>
    <t>Group A: Germany vs. Hungary (Stuttgart; 6 p.m. local / midday ET)</t>
  </si>
  <si>
    <t>Group A: Scotland vs. Switzerland (Cologne; 9 p.m. local / 3 p.m. ET)</t>
  </si>
  <si>
    <t>Thursday, June 20</t>
  </si>
  <si>
    <t>Group C: Slovenia vs. Serbia (Munich; 3 p.m. local / 9 a.m. ET)</t>
  </si>
  <si>
    <t>Group C: Denmark vs. England (Frankfurt; 6 p.m. local / midday ET)</t>
  </si>
  <si>
    <t>Group B: Spain vs. Italy (Gelsenkirchen; 9 p.m. local / 3 p.m. ET)</t>
  </si>
  <si>
    <t>Friday, June 21</t>
  </si>
  <si>
    <t>Group E: Slovakia vs. Playoff Winner B (Düsseldorf; 3 p.m. local / 9 a.m. ET)</t>
  </si>
  <si>
    <t>Group D: Playoff Winner A vs. Austria (Berlin; 6 p.m. local / midday ET)</t>
  </si>
  <si>
    <t>Group D: Netherlands vs. France (Leipzig; 9 p.m. local / 3 p.m. ET)</t>
  </si>
  <si>
    <t>Saturday, June 22</t>
  </si>
  <si>
    <t>Group F: Playoff Winner C vs. Czechia (Hamburg; 3 p.m. local / 9 a.m. ET)</t>
  </si>
  <si>
    <t>Group F: Turkey vs. Portugal (Dortmund; 6 p.m. local / midday ET)</t>
  </si>
  <si>
    <t>Group E: Belgium vs. Romania (Cologne; 9 p.m. local / 3 p.m. ET)</t>
  </si>
  <si>
    <t>Sunday, June 23</t>
  </si>
  <si>
    <t>Group A: Switzerland vs. Germany (Frankfurt; 9 p.m. local / 3 p.m. ET)</t>
  </si>
  <si>
    <t>Group A: Scotland vs. Hungary (Stuttgart; 9 p.m. local / 3 p.m. ET)</t>
  </si>
  <si>
    <t>Monday, June 24</t>
  </si>
  <si>
    <t>Group B: Albania vs. Spain (Düsseldorf; 9 p.m. local / 3 p.m. ET)</t>
  </si>
  <si>
    <t>Group B: Croatia vs. Italy (Leipzig; 9 p.m. local / 3 p.m. ET)</t>
  </si>
  <si>
    <t>Tuesday, June 25</t>
  </si>
  <si>
    <t>Group D: France vs. Playoff Winner A (Dortmund; 6 p.m. local / midday ET)</t>
  </si>
  <si>
    <t>Group D: Netherlands vs. Austria (Berlin; 6 p.m. local / midday ET)</t>
  </si>
  <si>
    <t>Group C: England vs. Slovenia (Cologne; 9 p.m. local / 3 p.m. ET)</t>
  </si>
  <si>
    <t>Group C: Denmark vs. Serbia (Munich; 9 p.m. local / 3 p.m. ET)</t>
  </si>
  <si>
    <t>Wednesday, June 26</t>
  </si>
  <si>
    <t>Group E: Playoff Winner B vs. Belgium (Stuttgart; 6 p.m. local / midday ET)</t>
  </si>
  <si>
    <t>Group E: Slovakia vs. Romania (Frankfurt; 6 p.m. local / midday ET)</t>
  </si>
  <si>
    <t>Group F: Czechia vs. Turkey (Hamburg; 9 p.m. local / 3 p.m. ET)</t>
  </si>
  <si>
    <t>Group F: Playoff Winner C vs. Portugal (Gelsenkirchen; 9 p.m. local / 3 p.m. ET)</t>
  </si>
  <si>
    <t>Frankfurt</t>
  </si>
  <si>
    <t>Romania</t>
  </si>
  <si>
    <t>Türkiye</t>
  </si>
  <si>
    <t>Czechia</t>
  </si>
  <si>
    <t>HEL</t>
  </si>
  <si>
    <t>HRV</t>
  </si>
  <si>
    <t>ITL</t>
  </si>
  <si>
    <t>ALB</t>
  </si>
  <si>
    <t>SLO</t>
  </si>
  <si>
    <t>SRB</t>
  </si>
  <si>
    <t>POA</t>
  </si>
  <si>
    <t>ROM</t>
  </si>
  <si>
    <t>POB</t>
  </si>
  <si>
    <t>TUR</t>
  </si>
  <si>
    <t>POC</t>
  </si>
  <si>
    <t>CZH</t>
  </si>
  <si>
    <t>V1 - 2501</t>
  </si>
  <si>
    <t>Welcome to McRopod Concepts' UEFA Euro 2024 Sports System.</t>
  </si>
  <si>
    <t>3rd A/D/E/F</t>
  </si>
  <si>
    <t>3rd A/B/C</t>
  </si>
  <si>
    <t>3rd A/B/C/D</t>
  </si>
  <si>
    <t>3rrd D/E/F</t>
  </si>
  <si>
    <t>Stuttgart - 5 July - 1800h</t>
  </si>
  <si>
    <t>Hamburg - 5 July - 2100h</t>
  </si>
  <si>
    <t>Berlin - 6 July - 2100h</t>
  </si>
  <si>
    <t>Stuttgart - 6 July - 18:00</t>
  </si>
  <si>
    <t>Munich - 6 July - 2100h</t>
  </si>
  <si>
    <t>Dortmund - 7 July - 21:00</t>
  </si>
  <si>
    <t>Berlin - 11 July - 21:00</t>
  </si>
  <si>
    <t>Round of 16:  29 June to 2 July</t>
  </si>
  <si>
    <t>Quarter-Finals:  5 and 6 July</t>
  </si>
  <si>
    <t>Semi-Finals:  6 and 7 July</t>
  </si>
  <si>
    <t>Final:  11 July</t>
  </si>
  <si>
    <t>At the time of first making this McRopod available, three teams were still to qualify, but the placeholders are included</t>
  </si>
  <si>
    <t>Georgia</t>
  </si>
  <si>
    <t>Luxembourg</t>
  </si>
  <si>
    <t>Greece</t>
  </si>
  <si>
    <t>Kazakhstan</t>
  </si>
  <si>
    <t>Estonia</t>
  </si>
  <si>
    <t>Israel</t>
  </si>
  <si>
    <t>Iceland</t>
  </si>
  <si>
    <t>Athens - Thu 21 March - 2045h</t>
  </si>
  <si>
    <t>Tiblisi - Thu 21 March - 1800h</t>
  </si>
  <si>
    <t>Cardiff - Thu 21 March - 2045h</t>
  </si>
  <si>
    <t>Warsaw - Thu 21 March - 2045h</t>
  </si>
  <si>
    <t>Bosnia Herzegovina</t>
  </si>
  <si>
    <t>Zenica - Thu 21 March - 2045h</t>
  </si>
  <si>
    <t>(TBD) - Thu 21 March - (TBD)</t>
  </si>
  <si>
    <t>(TBD) - Tue  26 March - (TBD)</t>
  </si>
  <si>
    <t>Results System (c) McRopod Concepts 2024 - www.mcropod.com.au</t>
  </si>
  <si>
    <t>in the draw as PlayOff Winner A,  PlayOff Winner B, and  PlayOff Winner C.  The Play-Off fixtures are included</t>
  </si>
  <si>
    <t>on the Play-Off page.  Once you enter these results, the Play-Off winners advance into the main draw and fixture list.</t>
  </si>
  <si>
    <t>Play-Offs for last three places at Euro '25</t>
  </si>
  <si>
    <t>Winner to Group D (with Netherlands, Austria, and France)</t>
  </si>
  <si>
    <t>Winner to Group E (with Romania, Belgium, and Slovakia)</t>
  </si>
  <si>
    <t>Winner to Group F (with Türkiye, Portugal, and Czechia)</t>
  </si>
  <si>
    <t>OK?  So head on off now to the &lt;First Stage&gt; Group Fixtures page or the &lt;Play-Offs&gt; page, and get cracking :-)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</si>
</sst>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\-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4"/>
      <color indexed="26"/>
      <name val="Arial"/>
      <family val="2"/>
    </font>
    <font>
      <b/>
      <sz val="12"/>
      <color indexed="26"/>
      <name val="Arial"/>
      <family val="2"/>
    </font>
    <font>
      <sz val="10"/>
      <color indexed="26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Bookman Old Style"/>
      <family val="1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u val="single"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26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0"/>
    </font>
    <font>
      <sz val="8"/>
      <color indexed="8"/>
      <name val="Bookman Old Style"/>
      <family val="0"/>
    </font>
    <font>
      <b/>
      <sz val="28"/>
      <color indexed="9"/>
      <name val="Calibri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tted"/>
      <right style="dotted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16" fontId="4" fillId="0" borderId="0" xfId="0" applyNumberFormat="1" applyFont="1" applyAlignment="1" applyProtection="1">
      <alignment horizontal="center"/>
      <protection hidden="1"/>
    </xf>
    <xf numFmtId="18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 applyProtection="1">
      <alignment/>
      <protection hidden="1"/>
    </xf>
    <xf numFmtId="16" fontId="5" fillId="34" borderId="11" xfId="0" applyNumberFormat="1" applyFont="1" applyFill="1" applyBorder="1" applyAlignment="1" applyProtection="1">
      <alignment horizontal="centerContinuous"/>
      <protection hidden="1"/>
    </xf>
    <xf numFmtId="18" fontId="5" fillId="34" borderId="11" xfId="0" applyNumberFormat="1" applyFont="1" applyFill="1" applyBorder="1" applyAlignment="1" applyProtection="1">
      <alignment horizontal="centerContinuous"/>
      <protection hidden="1"/>
    </xf>
    <xf numFmtId="0" fontId="5" fillId="34" borderId="11" xfId="0" applyFont="1" applyFill="1" applyBorder="1" applyAlignment="1" applyProtection="1">
      <alignment horizontal="centerContinuous"/>
      <protection hidden="1"/>
    </xf>
    <xf numFmtId="0" fontId="5" fillId="34" borderId="12" xfId="0" applyFont="1" applyFill="1" applyBorder="1" applyAlignment="1" applyProtection="1">
      <alignment horizontal="centerContinuous"/>
      <protection hidden="1"/>
    </xf>
    <xf numFmtId="0" fontId="6" fillId="35" borderId="10" xfId="0" applyFont="1" applyFill="1" applyBorder="1" applyAlignment="1" applyProtection="1">
      <alignment horizontal="centerContinuous"/>
      <protection hidden="1"/>
    </xf>
    <xf numFmtId="0" fontId="6" fillId="35" borderId="11" xfId="0" applyFont="1" applyFill="1" applyBorder="1" applyAlignment="1" applyProtection="1">
      <alignment horizontal="centerContinuous"/>
      <protection hidden="1"/>
    </xf>
    <xf numFmtId="16" fontId="6" fillId="35" borderId="11" xfId="0" applyNumberFormat="1" applyFont="1" applyFill="1" applyBorder="1" applyAlignment="1" applyProtection="1">
      <alignment horizontal="centerContinuous"/>
      <protection hidden="1"/>
    </xf>
    <xf numFmtId="18" fontId="6" fillId="35" borderId="11" xfId="0" applyNumberFormat="1" applyFont="1" applyFill="1" applyBorder="1" applyAlignment="1" applyProtection="1">
      <alignment horizontal="centerContinuous"/>
      <protection hidden="1"/>
    </xf>
    <xf numFmtId="0" fontId="6" fillId="35" borderId="12" xfId="0" applyFont="1" applyFill="1" applyBorder="1" applyAlignment="1" applyProtection="1">
      <alignment horizontal="centerContinuous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" fontId="4" fillId="0" borderId="0" xfId="0" applyNumberFormat="1" applyFont="1" applyFill="1" applyBorder="1" applyAlignment="1" applyProtection="1">
      <alignment horizontal="center"/>
      <protection hidden="1"/>
    </xf>
    <xf numFmtId="18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36" borderId="13" xfId="0" applyFont="1" applyFill="1" applyBorder="1" applyAlignment="1" applyProtection="1">
      <alignment horizontal="center"/>
      <protection locked="0"/>
    </xf>
    <xf numFmtId="0" fontId="4" fillId="36" borderId="14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0" fontId="4" fillId="36" borderId="16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 applyProtection="1">
      <alignment horizontal="right"/>
      <protection hidden="1"/>
    </xf>
    <xf numFmtId="0" fontId="4" fillId="37" borderId="17" xfId="0" applyFont="1" applyFill="1" applyBorder="1" applyAlignment="1" applyProtection="1">
      <alignment horizontal="center"/>
      <protection hidden="1"/>
    </xf>
    <xf numFmtId="0" fontId="4" fillId="37" borderId="18" xfId="0" applyFont="1" applyFill="1" applyBorder="1" applyAlignment="1" applyProtection="1">
      <alignment horizontal="right"/>
      <protection hidden="1"/>
    </xf>
    <xf numFmtId="0" fontId="4" fillId="37" borderId="18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 applyProtection="1">
      <alignment vertical="center"/>
      <protection hidden="1"/>
    </xf>
    <xf numFmtId="0" fontId="10" fillId="38" borderId="0" xfId="0" applyFont="1" applyFill="1" applyAlignment="1" applyProtection="1">
      <alignment horizontal="centerContinuous" vertical="center"/>
      <protection hidden="1"/>
    </xf>
    <xf numFmtId="0" fontId="11" fillId="38" borderId="0" xfId="0" applyFont="1" applyFill="1" applyAlignment="1" applyProtection="1">
      <alignment horizontal="centerContinuous" vertical="center"/>
      <protection hidden="1"/>
    </xf>
    <xf numFmtId="0" fontId="12" fillId="38" borderId="0" xfId="0" applyFont="1" applyFill="1" applyAlignment="1" applyProtection="1">
      <alignment horizontal="centerContinuous" vertical="center"/>
      <protection hidden="1"/>
    </xf>
    <xf numFmtId="16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ont="1" applyFill="1" applyAlignment="1" applyProtection="1">
      <alignment horizontal="centerContinuous" vertical="center"/>
      <protection hidden="1"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0" fontId="1" fillId="39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40" borderId="21" xfId="0" applyFont="1" applyFill="1" applyBorder="1" applyAlignment="1" applyProtection="1">
      <alignment vertical="center"/>
      <protection hidden="1"/>
    </xf>
    <xf numFmtId="0" fontId="2" fillId="40" borderId="21" xfId="0" applyFont="1" applyFill="1" applyBorder="1" applyAlignment="1" applyProtection="1">
      <alignment horizontal="right" vertical="center"/>
      <protection hidden="1"/>
    </xf>
    <xf numFmtId="0" fontId="4" fillId="40" borderId="14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39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/>
      <protection hidden="1"/>
    </xf>
    <xf numFmtId="0" fontId="1" fillId="41" borderId="22" xfId="0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 applyProtection="1">
      <alignment vertical="center"/>
      <protection hidden="1"/>
    </xf>
    <xf numFmtId="0" fontId="1" fillId="36" borderId="2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3" fillId="40" borderId="23" xfId="0" applyFont="1" applyFill="1" applyBorder="1" applyAlignment="1" applyProtection="1">
      <alignment horizontal="centerContinuous" vertical="center"/>
      <protection hidden="1"/>
    </xf>
    <xf numFmtId="0" fontId="14" fillId="40" borderId="0" xfId="0" applyFont="1" applyFill="1" applyBorder="1" applyAlignment="1" applyProtection="1">
      <alignment horizontal="centerContinuous" vertical="center"/>
      <protection hidden="1"/>
    </xf>
    <xf numFmtId="0" fontId="13" fillId="40" borderId="0" xfId="0" applyFont="1" applyFill="1" applyBorder="1" applyAlignment="1" applyProtection="1">
      <alignment horizontal="right" vertical="center"/>
      <protection hidden="1"/>
    </xf>
    <xf numFmtId="0" fontId="13" fillId="40" borderId="26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 quotePrefix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4" fillId="40" borderId="2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 quotePrefix="1">
      <alignment horizontal="left" vertical="top"/>
      <protection hidden="1"/>
    </xf>
    <xf numFmtId="0" fontId="16" fillId="0" borderId="0" xfId="0" applyFont="1" applyFill="1" applyBorder="1" applyAlignment="1" applyProtection="1" quotePrefix="1">
      <alignment horizontal="left" vertical="top"/>
      <protection hidden="1"/>
    </xf>
    <xf numFmtId="0" fontId="2" fillId="40" borderId="23" xfId="0" applyFont="1" applyFill="1" applyBorder="1" applyAlignment="1" applyProtection="1">
      <alignment horizontal="centerContinuous" vertical="center"/>
      <protection hidden="1"/>
    </xf>
    <xf numFmtId="0" fontId="0" fillId="40" borderId="0" xfId="0" applyFont="1" applyFill="1" applyBorder="1" applyAlignment="1" applyProtection="1">
      <alignment horizontal="centerContinuous" vertical="center"/>
      <protection hidden="1"/>
    </xf>
    <xf numFmtId="0" fontId="2" fillId="40" borderId="0" xfId="0" applyFont="1" applyFill="1" applyBorder="1" applyAlignment="1" applyProtection="1">
      <alignment horizontal="right" vertical="center"/>
      <protection hidden="1"/>
    </xf>
    <xf numFmtId="0" fontId="2" fillId="40" borderId="26" xfId="0" applyFont="1" applyFill="1" applyBorder="1" applyAlignment="1" applyProtection="1">
      <alignment horizontal="right" vertical="center"/>
      <protection hidden="1"/>
    </xf>
    <xf numFmtId="0" fontId="1" fillId="39" borderId="16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left"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4" fillId="0" borderId="0" xfId="0" applyFont="1" applyFill="1" applyAlignment="1" applyProtection="1">
      <alignment horizontal="centerContinuous"/>
      <protection hidden="1"/>
    </xf>
    <xf numFmtId="0" fontId="4" fillId="37" borderId="0" xfId="0" applyFont="1" applyFill="1" applyBorder="1" applyAlignment="1" applyProtection="1">
      <alignment horizontal="right"/>
      <protection hidden="1"/>
    </xf>
    <xf numFmtId="0" fontId="4" fillId="37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 quotePrefix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 quotePrefix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4" fillId="35" borderId="11" xfId="0" applyFont="1" applyFill="1" applyBorder="1" applyAlignment="1" applyProtection="1">
      <alignment horizontal="centerContinuous"/>
      <protection hidden="1"/>
    </xf>
    <xf numFmtId="0" fontId="4" fillId="35" borderId="12" xfId="0" applyFont="1" applyFill="1" applyBorder="1" applyAlignment="1" applyProtection="1">
      <alignment horizontal="centerContinuous"/>
      <protection hidden="1"/>
    </xf>
    <xf numFmtId="0" fontId="5" fillId="34" borderId="10" xfId="0" applyFont="1" applyFill="1" applyBorder="1" applyAlignment="1" applyProtection="1">
      <alignment horizontal="centerContinuous"/>
      <protection hidden="1"/>
    </xf>
    <xf numFmtId="0" fontId="4" fillId="34" borderId="11" xfId="0" applyFont="1" applyFill="1" applyBorder="1" applyAlignment="1">
      <alignment horizontal="centerContinuous"/>
    </xf>
    <xf numFmtId="0" fontId="4" fillId="34" borderId="12" xfId="0" applyFont="1" applyFill="1" applyBorder="1" applyAlignment="1">
      <alignment horizontal="centerContinuous"/>
    </xf>
    <xf numFmtId="16" fontId="1" fillId="0" borderId="0" xfId="0" applyNumberFormat="1" applyFont="1" applyFill="1" applyAlignment="1" applyProtection="1">
      <alignment horizontal="center" vertical="top"/>
      <protection hidden="1"/>
    </xf>
    <xf numFmtId="0" fontId="21" fillId="34" borderId="11" xfId="0" applyFont="1" applyFill="1" applyBorder="1" applyAlignment="1" applyProtection="1">
      <alignment horizontal="left"/>
      <protection hidden="1"/>
    </xf>
    <xf numFmtId="0" fontId="21" fillId="34" borderId="11" xfId="0" applyFont="1" applyFill="1" applyBorder="1" applyAlignment="1" applyProtection="1">
      <alignment horizontal="center"/>
      <protection hidden="1"/>
    </xf>
    <xf numFmtId="0" fontId="4" fillId="36" borderId="29" xfId="0" applyFont="1" applyFill="1" applyBorder="1" applyAlignment="1" applyProtection="1">
      <alignment horizontal="center"/>
      <protection locked="0"/>
    </xf>
    <xf numFmtId="0" fontId="4" fillId="36" borderId="3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hidden="1"/>
    </xf>
    <xf numFmtId="0" fontId="1" fillId="36" borderId="31" xfId="0" applyFont="1" applyFill="1" applyBorder="1" applyAlignment="1" applyProtection="1">
      <alignment horizontal="center" vertical="center"/>
      <protection locked="0"/>
    </xf>
    <xf numFmtId="0" fontId="19" fillId="41" borderId="32" xfId="0" applyFont="1" applyFill="1" applyBorder="1" applyAlignment="1" applyProtection="1">
      <alignment/>
      <protection hidden="1"/>
    </xf>
    <xf numFmtId="0" fontId="19" fillId="41" borderId="33" xfId="0" applyFont="1" applyFill="1" applyBorder="1" applyAlignment="1" applyProtection="1">
      <alignment horizontal="right"/>
      <protection hidden="1"/>
    </xf>
    <xf numFmtId="0" fontId="19" fillId="41" borderId="33" xfId="0" applyFont="1" applyFill="1" applyBorder="1" applyAlignment="1" applyProtection="1">
      <alignment horizontal="center"/>
      <protection hidden="1"/>
    </xf>
    <xf numFmtId="0" fontId="19" fillId="41" borderId="34" xfId="0" applyFont="1" applyFill="1" applyBorder="1" applyAlignment="1" applyProtection="1">
      <alignment horizontal="center"/>
      <protection hidden="1"/>
    </xf>
    <xf numFmtId="0" fontId="6" fillId="41" borderId="35" xfId="0" applyFont="1" applyFill="1" applyBorder="1" applyAlignment="1" applyProtection="1">
      <alignment horizontal="center"/>
      <protection hidden="1"/>
    </xf>
    <xf numFmtId="0" fontId="4" fillId="41" borderId="36" xfId="0" applyFont="1" applyFill="1" applyBorder="1" applyAlignment="1" applyProtection="1">
      <alignment horizontal="right"/>
      <protection hidden="1"/>
    </xf>
    <xf numFmtId="0" fontId="4" fillId="41" borderId="36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/>
      <protection hidden="1"/>
    </xf>
    <xf numFmtId="0" fontId="6" fillId="41" borderId="38" xfId="0" applyFont="1" applyFill="1" applyBorder="1" applyAlignment="1" applyProtection="1">
      <alignment horizontal="right"/>
      <protection hidden="1"/>
    </xf>
    <xf numFmtId="0" fontId="4" fillId="41" borderId="38" xfId="0" applyFont="1" applyFill="1" applyBorder="1" applyAlignment="1" applyProtection="1">
      <alignment horizontal="center"/>
      <protection hidden="1"/>
    </xf>
    <xf numFmtId="0" fontId="4" fillId="37" borderId="39" xfId="0" applyFont="1" applyFill="1" applyBorder="1" applyAlignment="1" applyProtection="1">
      <alignment/>
      <protection hidden="1"/>
    </xf>
    <xf numFmtId="0" fontId="4" fillId="37" borderId="39" xfId="0" applyFont="1" applyFill="1" applyBorder="1" applyAlignment="1" applyProtection="1">
      <alignment horizontal="right"/>
      <protection hidden="1"/>
    </xf>
    <xf numFmtId="0" fontId="9" fillId="37" borderId="39" xfId="0" applyFont="1" applyFill="1" applyBorder="1" applyAlignment="1" applyProtection="1">
      <alignment horizontal="center"/>
      <protection hidden="1"/>
    </xf>
    <xf numFmtId="0" fontId="4" fillId="37" borderId="40" xfId="0" applyFont="1" applyFill="1" applyBorder="1" applyAlignment="1" applyProtection="1">
      <alignment horizontal="center"/>
      <protection hidden="1"/>
    </xf>
    <xf numFmtId="0" fontId="4" fillId="37" borderId="21" xfId="0" applyFont="1" applyFill="1" applyBorder="1" applyAlignment="1" applyProtection="1">
      <alignment/>
      <protection hidden="1"/>
    </xf>
    <xf numFmtId="0" fontId="4" fillId="37" borderId="21" xfId="0" applyFont="1" applyFill="1" applyBorder="1" applyAlignment="1" applyProtection="1">
      <alignment horizontal="right"/>
      <protection hidden="1"/>
    </xf>
    <xf numFmtId="0" fontId="9" fillId="37" borderId="21" xfId="0" applyFont="1" applyFill="1" applyBorder="1" applyAlignment="1" applyProtection="1">
      <alignment horizontal="center"/>
      <protection hidden="1"/>
    </xf>
    <xf numFmtId="0" fontId="4" fillId="37" borderId="41" xfId="0" applyFont="1" applyFill="1" applyBorder="1" applyAlignment="1" applyProtection="1">
      <alignment horizontal="center"/>
      <protection hidden="1"/>
    </xf>
    <xf numFmtId="0" fontId="4" fillId="37" borderId="42" xfId="0" applyFont="1" applyFill="1" applyBorder="1" applyAlignment="1" applyProtection="1">
      <alignment/>
      <protection hidden="1"/>
    </xf>
    <xf numFmtId="0" fontId="4" fillId="37" borderId="42" xfId="0" applyFont="1" applyFill="1" applyBorder="1" applyAlignment="1" applyProtection="1">
      <alignment horizontal="right"/>
      <protection hidden="1"/>
    </xf>
    <xf numFmtId="0" fontId="9" fillId="37" borderId="42" xfId="0" applyFont="1" applyFill="1" applyBorder="1" applyAlignment="1" applyProtection="1">
      <alignment horizontal="center"/>
      <protection hidden="1"/>
    </xf>
    <xf numFmtId="0" fontId="4" fillId="37" borderId="22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7" borderId="43" xfId="0" applyFont="1" applyFill="1" applyBorder="1" applyAlignment="1">
      <alignment/>
    </xf>
    <xf numFmtId="0" fontId="4" fillId="37" borderId="44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42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0" fillId="37" borderId="45" xfId="0" applyFont="1" applyFill="1" applyBorder="1" applyAlignment="1" applyProtection="1">
      <alignment vertical="center"/>
      <protection hidden="1"/>
    </xf>
    <xf numFmtId="0" fontId="1" fillId="37" borderId="19" xfId="0" applyFont="1" applyFill="1" applyBorder="1" applyAlignment="1" applyProtection="1">
      <alignment vertical="center"/>
      <protection hidden="1"/>
    </xf>
    <xf numFmtId="0" fontId="0" fillId="37" borderId="25" xfId="0" applyFont="1" applyFill="1" applyBorder="1" applyAlignment="1" applyProtection="1">
      <alignment vertical="center"/>
      <protection hidden="1"/>
    </xf>
    <xf numFmtId="0" fontId="1" fillId="37" borderId="18" xfId="0" applyFont="1" applyFill="1" applyBorder="1" applyAlignment="1" applyProtection="1">
      <alignment vertical="center"/>
      <protection hidden="1"/>
    </xf>
    <xf numFmtId="0" fontId="1" fillId="37" borderId="39" xfId="0" applyFont="1" applyFill="1" applyBorder="1" applyAlignment="1" applyProtection="1">
      <alignment vertical="center"/>
      <protection hidden="1"/>
    </xf>
    <xf numFmtId="0" fontId="0" fillId="37" borderId="41" xfId="0" applyFont="1" applyFill="1" applyBorder="1" applyAlignment="1" applyProtection="1">
      <alignment vertical="center"/>
      <protection hidden="1"/>
    </xf>
    <xf numFmtId="0" fontId="1" fillId="37" borderId="42" xfId="0" applyFont="1" applyFill="1" applyBorder="1" applyAlignment="1" applyProtection="1">
      <alignment vertical="center"/>
      <protection hidden="1"/>
    </xf>
    <xf numFmtId="0" fontId="4" fillId="41" borderId="46" xfId="0" applyFont="1" applyFill="1" applyBorder="1" applyAlignment="1" applyProtection="1">
      <alignment/>
      <protection hidden="1"/>
    </xf>
    <xf numFmtId="0" fontId="1" fillId="36" borderId="47" xfId="0" applyFont="1" applyFill="1" applyBorder="1" applyAlignment="1" applyProtection="1">
      <alignment horizontal="center" vertical="center"/>
      <protection locked="0"/>
    </xf>
    <xf numFmtId="0" fontId="4" fillId="37" borderId="27" xfId="0" applyFont="1" applyFill="1" applyBorder="1" applyAlignment="1" applyProtection="1">
      <alignment horizontal="center"/>
      <protection hidden="1"/>
    </xf>
    <xf numFmtId="0" fontId="4" fillId="37" borderId="22" xfId="0" applyFont="1" applyFill="1" applyBorder="1" applyAlignment="1" applyProtection="1">
      <alignment horizontal="center"/>
      <protection hidden="1"/>
    </xf>
    <xf numFmtId="0" fontId="4" fillId="37" borderId="22" xfId="0" applyFont="1" applyFill="1" applyBorder="1" applyAlignment="1" applyProtection="1">
      <alignment/>
      <protection hidden="1"/>
    </xf>
    <xf numFmtId="0" fontId="4" fillId="37" borderId="48" xfId="0" applyFont="1" applyFill="1" applyBorder="1" applyAlignment="1" applyProtection="1">
      <alignment horizontal="center"/>
      <protection hidden="1"/>
    </xf>
    <xf numFmtId="0" fontId="4" fillId="37" borderId="43" xfId="0" applyFont="1" applyFill="1" applyBorder="1" applyAlignment="1" applyProtection="1">
      <alignment horizontal="center"/>
      <protection hidden="1"/>
    </xf>
    <xf numFmtId="0" fontId="4" fillId="37" borderId="43" xfId="0" applyFont="1" applyFill="1" applyBorder="1" applyAlignment="1" applyProtection="1">
      <alignment/>
      <protection hidden="1"/>
    </xf>
    <xf numFmtId="0" fontId="4" fillId="37" borderId="21" xfId="0" applyFont="1" applyFill="1" applyBorder="1" applyAlignment="1" applyProtection="1">
      <alignment horizontal="center"/>
      <protection hidden="1"/>
    </xf>
    <xf numFmtId="0" fontId="4" fillId="37" borderId="42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4" fillId="37" borderId="49" xfId="0" applyFont="1" applyFill="1" applyBorder="1" applyAlignment="1" applyProtection="1">
      <alignment horizontal="center"/>
      <protection hidden="1"/>
    </xf>
    <xf numFmtId="0" fontId="4" fillId="37" borderId="17" xfId="0" applyFont="1" applyFill="1" applyBorder="1" applyAlignment="1" applyProtection="1">
      <alignment/>
      <protection hidden="1"/>
    </xf>
    <xf numFmtId="0" fontId="4" fillId="37" borderId="17" xfId="0" applyFont="1" applyFill="1" applyBorder="1" applyAlignment="1">
      <alignment/>
    </xf>
    <xf numFmtId="0" fontId="4" fillId="37" borderId="50" xfId="0" applyFont="1" applyFill="1" applyBorder="1" applyAlignment="1">
      <alignment/>
    </xf>
    <xf numFmtId="0" fontId="0" fillId="0" borderId="30" xfId="0" applyFont="1" applyFill="1" applyBorder="1" applyAlignment="1" applyProtection="1">
      <alignment vertical="center"/>
      <protection hidden="1"/>
    </xf>
    <xf numFmtId="0" fontId="1" fillId="37" borderId="51" xfId="0" applyFont="1" applyFill="1" applyBorder="1" applyAlignment="1" applyProtection="1">
      <alignment vertical="center"/>
      <protection hidden="1"/>
    </xf>
    <xf numFmtId="0" fontId="1" fillId="36" borderId="51" xfId="0" applyFont="1" applyFill="1" applyBorder="1" applyAlignment="1" applyProtection="1">
      <alignment horizontal="center" vertical="center"/>
      <protection locked="0"/>
    </xf>
    <xf numFmtId="0" fontId="1" fillId="39" borderId="50" xfId="0" applyFont="1" applyFill="1" applyBorder="1" applyAlignment="1" applyProtection="1">
      <alignment horizontal="center" vertical="center"/>
      <protection locked="0"/>
    </xf>
    <xf numFmtId="0" fontId="0" fillId="37" borderId="48" xfId="0" applyFont="1" applyFill="1" applyBorder="1" applyAlignment="1" applyProtection="1">
      <alignment vertical="center"/>
      <protection hidden="1"/>
    </xf>
    <xf numFmtId="0" fontId="1" fillId="36" borderId="52" xfId="0" applyFont="1" applyFill="1" applyBorder="1" applyAlignment="1" applyProtection="1">
      <alignment horizontal="center" vertical="center"/>
      <protection locked="0"/>
    </xf>
    <xf numFmtId="0" fontId="1" fillId="39" borderId="44" xfId="0" applyFont="1" applyFill="1" applyBorder="1" applyAlignment="1" applyProtection="1">
      <alignment horizontal="center" vertical="center"/>
      <protection locked="0"/>
    </xf>
    <xf numFmtId="0" fontId="0" fillId="37" borderId="53" xfId="0" applyFont="1" applyFill="1" applyBorder="1" applyAlignment="1" applyProtection="1">
      <alignment vertical="center"/>
      <protection hidden="1"/>
    </xf>
    <xf numFmtId="0" fontId="1" fillId="37" borderId="36" xfId="0" applyFont="1" applyFill="1" applyBorder="1" applyAlignment="1" applyProtection="1">
      <alignment vertical="center"/>
      <protection hidden="1"/>
    </xf>
    <xf numFmtId="0" fontId="1" fillId="36" borderId="54" xfId="0" applyFont="1" applyFill="1" applyBorder="1" applyAlignment="1" applyProtection="1">
      <alignment horizontal="center" vertical="center"/>
      <protection locked="0"/>
    </xf>
    <xf numFmtId="0" fontId="1" fillId="39" borderId="5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4" fillId="37" borderId="39" xfId="0" applyFont="1" applyFill="1" applyBorder="1" applyAlignment="1" applyProtection="1">
      <alignment horizontal="center"/>
      <protection hidden="1"/>
    </xf>
    <xf numFmtId="172" fontId="4" fillId="37" borderId="39" xfId="0" applyNumberFormat="1" applyFont="1" applyFill="1" applyBorder="1" applyAlignment="1" applyProtection="1">
      <alignment horizontal="center"/>
      <protection hidden="1"/>
    </xf>
    <xf numFmtId="18" fontId="4" fillId="37" borderId="39" xfId="0" applyNumberFormat="1" applyFont="1" applyFill="1" applyBorder="1" applyAlignment="1" applyProtection="1">
      <alignment horizontal="center"/>
      <protection hidden="1"/>
    </xf>
    <xf numFmtId="172" fontId="4" fillId="37" borderId="21" xfId="0" applyNumberFormat="1" applyFont="1" applyFill="1" applyBorder="1" applyAlignment="1" applyProtection="1">
      <alignment horizontal="center"/>
      <protection hidden="1"/>
    </xf>
    <xf numFmtId="18" fontId="4" fillId="37" borderId="21" xfId="0" applyNumberFormat="1" applyFont="1" applyFill="1" applyBorder="1" applyAlignment="1" applyProtection="1">
      <alignment horizontal="center"/>
      <protection hidden="1"/>
    </xf>
    <xf numFmtId="172" fontId="4" fillId="37" borderId="42" xfId="0" applyNumberFormat="1" applyFont="1" applyFill="1" applyBorder="1" applyAlignment="1" applyProtection="1">
      <alignment horizontal="center"/>
      <protection hidden="1"/>
    </xf>
    <xf numFmtId="18" fontId="4" fillId="37" borderId="42" xfId="0" applyNumberFormat="1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16" fontId="6" fillId="35" borderId="11" xfId="0" applyNumberFormat="1" applyFont="1" applyFill="1" applyBorder="1" applyAlignment="1" applyProtection="1">
      <alignment horizontal="center"/>
      <protection hidden="1"/>
    </xf>
    <xf numFmtId="18" fontId="6" fillId="35" borderId="11" xfId="0" applyNumberFormat="1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Continuous" vertical="center"/>
      <protection hidden="1"/>
    </xf>
    <xf numFmtId="0" fontId="0" fillId="0" borderId="26" xfId="0" applyFont="1" applyFill="1" applyBorder="1" applyAlignment="1" applyProtection="1">
      <alignment horizontal="centerContinuous" vertical="center"/>
      <protection hidden="1"/>
    </xf>
    <xf numFmtId="0" fontId="1" fillId="36" borderId="43" xfId="0" applyFont="1" applyFill="1" applyBorder="1" applyAlignment="1" applyProtection="1">
      <alignment vertical="center"/>
      <protection locked="0"/>
    </xf>
    <xf numFmtId="14" fontId="4" fillId="0" borderId="0" xfId="0" applyNumberFormat="1" applyFont="1" applyAlignment="1" applyProtection="1">
      <alignment/>
      <protection hidden="1"/>
    </xf>
    <xf numFmtId="20" fontId="4" fillId="0" borderId="0" xfId="0" applyNumberFormat="1" applyFont="1" applyAlignment="1" applyProtection="1">
      <alignment/>
      <protection hidden="1"/>
    </xf>
    <xf numFmtId="0" fontId="4" fillId="33" borderId="0" xfId="0" applyFont="1" applyFill="1" applyAlignment="1">
      <alignment/>
    </xf>
    <xf numFmtId="0" fontId="1" fillId="37" borderId="56" xfId="0" applyFont="1" applyFill="1" applyBorder="1" applyAlignment="1" applyProtection="1">
      <alignment vertical="center"/>
      <protection hidden="1"/>
    </xf>
    <xf numFmtId="0" fontId="26" fillId="38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0" fontId="6" fillId="41" borderId="35" xfId="0" applyFont="1" applyFill="1" applyBorder="1" applyAlignment="1" applyProtection="1">
      <alignment horizontal="center"/>
      <protection hidden="1" locked="0"/>
    </xf>
    <xf numFmtId="0" fontId="4" fillId="41" borderId="36" xfId="0" applyFont="1" applyFill="1" applyBorder="1" applyAlignment="1" applyProtection="1">
      <alignment horizontal="right"/>
      <protection hidden="1" locked="0"/>
    </xf>
    <xf numFmtId="0" fontId="6" fillId="35" borderId="10" xfId="0" applyFont="1" applyFill="1" applyBorder="1" applyAlignment="1" applyProtection="1">
      <alignment horizontal="centerContinuous"/>
      <protection hidden="1" locked="0"/>
    </xf>
    <xf numFmtId="0" fontId="4" fillId="35" borderId="11" xfId="0" applyFont="1" applyFill="1" applyBorder="1" applyAlignment="1" applyProtection="1">
      <alignment horizontal="centerContinuous"/>
      <protection hidden="1" locked="0"/>
    </xf>
    <xf numFmtId="0" fontId="1" fillId="37" borderId="57" xfId="0" applyFont="1" applyFill="1" applyBorder="1" applyAlignment="1" applyProtection="1">
      <alignment vertical="center"/>
      <protection hidden="1"/>
    </xf>
    <xf numFmtId="0" fontId="23" fillId="40" borderId="0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Alignment="1">
      <alignment/>
    </xf>
    <xf numFmtId="44" fontId="0" fillId="0" borderId="0" xfId="44" applyFont="1" applyFill="1" applyAlignment="1" applyProtection="1">
      <alignment vertical="center"/>
      <protection hidden="1"/>
    </xf>
    <xf numFmtId="0" fontId="1" fillId="37" borderId="45" xfId="0" applyFont="1" applyFill="1" applyBorder="1" applyAlignment="1" applyProtection="1">
      <alignment vertical="center"/>
      <protection hidden="1"/>
    </xf>
    <xf numFmtId="0" fontId="1" fillId="37" borderId="49" xfId="0" applyFont="1" applyFill="1" applyBorder="1" applyAlignment="1" applyProtection="1">
      <alignment vertical="center"/>
      <protection hidden="1"/>
    </xf>
    <xf numFmtId="0" fontId="3" fillId="40" borderId="40" xfId="0" applyFont="1" applyFill="1" applyBorder="1" applyAlignment="1" applyProtection="1">
      <alignment vertical="center"/>
      <protection hidden="1"/>
    </xf>
    <xf numFmtId="0" fontId="27" fillId="40" borderId="23" xfId="0" applyFont="1" applyFill="1" applyBorder="1" applyAlignment="1" applyProtection="1">
      <alignment vertical="center"/>
      <protection hidden="1"/>
    </xf>
    <xf numFmtId="0" fontId="16" fillId="37" borderId="45" xfId="0" applyFont="1" applyFill="1" applyBorder="1" applyAlignment="1" applyProtection="1">
      <alignment horizontal="center"/>
      <protection hidden="1"/>
    </xf>
    <xf numFmtId="0" fontId="16" fillId="37" borderId="40" xfId="0" applyFont="1" applyFill="1" applyBorder="1" applyAlignment="1" applyProtection="1">
      <alignment horizontal="center"/>
      <protection hidden="1"/>
    </xf>
    <xf numFmtId="0" fontId="16" fillId="37" borderId="41" xfId="0" applyFont="1" applyFill="1" applyBorder="1" applyAlignment="1" applyProtection="1">
      <alignment horizontal="center"/>
      <protection hidden="1"/>
    </xf>
    <xf numFmtId="0" fontId="16" fillId="35" borderId="10" xfId="0" applyFont="1" applyFill="1" applyBorder="1" applyAlignment="1" applyProtection="1">
      <alignment horizontal="centerContinuous"/>
      <protection hidden="1"/>
    </xf>
    <xf numFmtId="0" fontId="0" fillId="37" borderId="45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6" fontId="1" fillId="0" borderId="0" xfId="0" applyNumberFormat="1" applyFont="1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Continuous" vertical="center"/>
      <protection hidden="1"/>
    </xf>
    <xf numFmtId="0" fontId="0" fillId="37" borderId="25" xfId="0" applyFont="1" applyFill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16" fontId="1" fillId="0" borderId="0" xfId="0" applyNumberFormat="1" applyFont="1" applyAlignment="1" applyProtection="1">
      <alignment horizontal="center" vertical="top"/>
      <protection hidden="1"/>
    </xf>
    <xf numFmtId="0" fontId="0" fillId="0" borderId="26" xfId="0" applyFont="1" applyBorder="1" applyAlignment="1" applyProtection="1">
      <alignment horizontal="centerContinuous"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 quotePrefix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 quotePrefix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 quotePrefix="1">
      <alignment horizontal="left" vertical="top"/>
      <protection hidden="1"/>
    </xf>
    <xf numFmtId="0" fontId="16" fillId="0" borderId="0" xfId="0" applyFont="1" applyAlignment="1" applyProtection="1" quotePrefix="1">
      <alignment horizontal="left" vertical="top"/>
      <protection hidden="1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 quotePrefix="1">
      <alignment horizontal="left" vertical="center"/>
      <protection hidden="1"/>
    </xf>
    <xf numFmtId="0" fontId="28" fillId="0" borderId="0" xfId="0" applyFont="1" applyAlignment="1">
      <alignment/>
    </xf>
    <xf numFmtId="0" fontId="2" fillId="40" borderId="40" xfId="0" applyFont="1" applyFill="1" applyBorder="1" applyAlignment="1" applyProtection="1">
      <alignment horizontal="centerContinuous" vertical="center"/>
      <protection hidden="1"/>
    </xf>
    <xf numFmtId="0" fontId="2" fillId="40" borderId="21" xfId="0" applyFont="1" applyFill="1" applyBorder="1" applyAlignment="1" applyProtection="1">
      <alignment horizontal="centerContinuous" vertical="center"/>
      <protection hidden="1"/>
    </xf>
    <xf numFmtId="16" fontId="1" fillId="0" borderId="0" xfId="0" applyNumberFormat="1" applyFont="1" applyAlignment="1" applyProtection="1">
      <alignment horizontal="center"/>
      <protection hidden="1"/>
    </xf>
    <xf numFmtId="16" fontId="1" fillId="0" borderId="0" xfId="0" applyNumberFormat="1" applyFont="1" applyAlignment="1" applyProtection="1">
      <alignment horizontal="left"/>
      <protection hidden="1"/>
    </xf>
    <xf numFmtId="1" fontId="1" fillId="36" borderId="31" xfId="0" applyNumberFormat="1" applyFont="1" applyFill="1" applyBorder="1" applyAlignment="1" applyProtection="1">
      <alignment horizontal="center" vertical="center"/>
      <protection locked="0"/>
    </xf>
    <xf numFmtId="1" fontId="1" fillId="39" borderId="20" xfId="0" applyNumberFormat="1" applyFont="1" applyFill="1" applyBorder="1" applyAlignment="1" applyProtection="1">
      <alignment horizontal="center" vertical="center"/>
      <protection locked="0"/>
    </xf>
    <xf numFmtId="1" fontId="1" fillId="36" borderId="28" xfId="0" applyNumberFormat="1" applyFont="1" applyFill="1" applyBorder="1" applyAlignment="1" applyProtection="1">
      <alignment horizontal="center" vertical="center"/>
      <protection locked="0"/>
    </xf>
    <xf numFmtId="1" fontId="1" fillId="39" borderId="24" xfId="0" applyNumberFormat="1" applyFont="1" applyFill="1" applyBorder="1" applyAlignment="1" applyProtection="1">
      <alignment horizontal="center" vertical="center"/>
      <protection locked="0"/>
    </xf>
    <xf numFmtId="0" fontId="29" fillId="37" borderId="39" xfId="0" applyFont="1" applyFill="1" applyBorder="1" applyAlignment="1" applyProtection="1">
      <alignment vertical="center"/>
      <protection hidden="1"/>
    </xf>
    <xf numFmtId="0" fontId="29" fillId="37" borderId="18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57150</xdr:rowOff>
    </xdr:from>
    <xdr:to>
      <xdr:col>2</xdr:col>
      <xdr:colOff>523875</xdr:colOff>
      <xdr:row>7</xdr:row>
      <xdr:rowOff>95250</xdr:rowOff>
    </xdr:to>
    <xdr:sp>
      <xdr:nvSpPr>
        <xdr:cNvPr id="1" name="Text 1"/>
        <xdr:cNvSpPr>
          <a:spLocks/>
        </xdr:cNvSpPr>
      </xdr:nvSpPr>
      <xdr:spPr>
        <a:xfrm>
          <a:off x="885825" y="657225"/>
          <a:ext cx="419100" cy="7620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104775</xdr:colOff>
      <xdr:row>9</xdr:row>
      <xdr:rowOff>57150</xdr:rowOff>
    </xdr:from>
    <xdr:to>
      <xdr:col>2</xdr:col>
      <xdr:colOff>523875</xdr:colOff>
      <xdr:row>14</xdr:row>
      <xdr:rowOff>95250</xdr:rowOff>
    </xdr:to>
    <xdr:sp>
      <xdr:nvSpPr>
        <xdr:cNvPr id="2" name="Text 2"/>
        <xdr:cNvSpPr>
          <a:spLocks/>
        </xdr:cNvSpPr>
      </xdr:nvSpPr>
      <xdr:spPr>
        <a:xfrm>
          <a:off x="885825" y="1695450"/>
          <a:ext cx="419100" cy="7620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104775</xdr:colOff>
      <xdr:row>16</xdr:row>
      <xdr:rowOff>57150</xdr:rowOff>
    </xdr:from>
    <xdr:to>
      <xdr:col>2</xdr:col>
      <xdr:colOff>523875</xdr:colOff>
      <xdr:row>21</xdr:row>
      <xdr:rowOff>95250</xdr:rowOff>
    </xdr:to>
    <xdr:sp>
      <xdr:nvSpPr>
        <xdr:cNvPr id="3" name="Text 3"/>
        <xdr:cNvSpPr>
          <a:spLocks/>
        </xdr:cNvSpPr>
      </xdr:nvSpPr>
      <xdr:spPr>
        <a:xfrm>
          <a:off x="885825" y="2733675"/>
          <a:ext cx="419100" cy="7620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104775</xdr:colOff>
      <xdr:row>23</xdr:row>
      <xdr:rowOff>57150</xdr:rowOff>
    </xdr:from>
    <xdr:to>
      <xdr:col>2</xdr:col>
      <xdr:colOff>523875</xdr:colOff>
      <xdr:row>28</xdr:row>
      <xdr:rowOff>95250</xdr:rowOff>
    </xdr:to>
    <xdr:sp>
      <xdr:nvSpPr>
        <xdr:cNvPr id="4" name="Text 4"/>
        <xdr:cNvSpPr>
          <a:spLocks/>
        </xdr:cNvSpPr>
      </xdr:nvSpPr>
      <xdr:spPr>
        <a:xfrm>
          <a:off x="885825" y="3771900"/>
          <a:ext cx="419100" cy="7620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95250</xdr:colOff>
      <xdr:row>30</xdr:row>
      <xdr:rowOff>47625</xdr:rowOff>
    </xdr:from>
    <xdr:to>
      <xdr:col>2</xdr:col>
      <xdr:colOff>514350</xdr:colOff>
      <xdr:row>35</xdr:row>
      <xdr:rowOff>85725</xdr:rowOff>
    </xdr:to>
    <xdr:sp>
      <xdr:nvSpPr>
        <xdr:cNvPr id="5" name="Text 5"/>
        <xdr:cNvSpPr>
          <a:spLocks/>
        </xdr:cNvSpPr>
      </xdr:nvSpPr>
      <xdr:spPr>
        <a:xfrm>
          <a:off x="876300" y="4800600"/>
          <a:ext cx="419100" cy="7620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104775</xdr:colOff>
      <xdr:row>37</xdr:row>
      <xdr:rowOff>57150</xdr:rowOff>
    </xdr:from>
    <xdr:to>
      <xdr:col>2</xdr:col>
      <xdr:colOff>523875</xdr:colOff>
      <xdr:row>42</xdr:row>
      <xdr:rowOff>95250</xdr:rowOff>
    </xdr:to>
    <xdr:sp>
      <xdr:nvSpPr>
        <xdr:cNvPr id="6" name="Text 6"/>
        <xdr:cNvSpPr>
          <a:spLocks/>
        </xdr:cNvSpPr>
      </xdr:nvSpPr>
      <xdr:spPr>
        <a:xfrm>
          <a:off x="885825" y="5848350"/>
          <a:ext cx="419100" cy="7620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26</xdr:row>
      <xdr:rowOff>114300</xdr:rowOff>
    </xdr:from>
    <xdr:to>
      <xdr:col>8</xdr:col>
      <xdr:colOff>1438275</xdr:colOff>
      <xdr:row>27</xdr:row>
      <xdr:rowOff>152400</xdr:rowOff>
    </xdr:to>
    <xdr:sp>
      <xdr:nvSpPr>
        <xdr:cNvPr id="1" name="Text 7"/>
        <xdr:cNvSpPr>
          <a:spLocks/>
        </xdr:cNvSpPr>
      </xdr:nvSpPr>
      <xdr:spPr>
        <a:xfrm>
          <a:off x="4714875" y="5238750"/>
          <a:ext cx="1562100" cy="219075"/>
        </a:xfrm>
        <a:prstGeom prst="round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© McRopod Concepts 2024</a:t>
          </a:r>
        </a:p>
      </xdr:txBody>
    </xdr:sp>
    <xdr:clientData/>
  </xdr:twoCellAnchor>
  <xdr:twoCellAnchor>
    <xdr:from>
      <xdr:col>0</xdr:col>
      <xdr:colOff>371475</xdr:colOff>
      <xdr:row>5</xdr:row>
      <xdr:rowOff>9525</xdr:rowOff>
    </xdr:from>
    <xdr:to>
      <xdr:col>0</xdr:col>
      <xdr:colOff>742950</xdr:colOff>
      <xdr:row>12</xdr:row>
      <xdr:rowOff>19050</xdr:rowOff>
    </xdr:to>
    <xdr:sp>
      <xdr:nvSpPr>
        <xdr:cNvPr id="2" name="Rectangle: Rounded Corners 8"/>
        <xdr:cNvSpPr>
          <a:spLocks/>
        </xdr:cNvSpPr>
      </xdr:nvSpPr>
      <xdr:spPr>
        <a:xfrm>
          <a:off x="371475" y="1019175"/>
          <a:ext cx="371475" cy="1390650"/>
        </a:xfrm>
        <a:prstGeom prst="roundRect">
          <a:avLst/>
        </a:prstGeom>
        <a:solidFill>
          <a:srgbClr val="54823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0</xdr:col>
      <xdr:colOff>361950</xdr:colOff>
      <xdr:row>12</xdr:row>
      <xdr:rowOff>171450</xdr:rowOff>
    </xdr:from>
    <xdr:to>
      <xdr:col>0</xdr:col>
      <xdr:colOff>733425</xdr:colOff>
      <xdr:row>20</xdr:row>
      <xdr:rowOff>0</xdr:rowOff>
    </xdr:to>
    <xdr:sp>
      <xdr:nvSpPr>
        <xdr:cNvPr id="3" name="Rectangle: Rounded Corners 11"/>
        <xdr:cNvSpPr>
          <a:spLocks/>
        </xdr:cNvSpPr>
      </xdr:nvSpPr>
      <xdr:spPr>
        <a:xfrm>
          <a:off x="361950" y="2562225"/>
          <a:ext cx="371475" cy="1390650"/>
        </a:xfrm>
        <a:prstGeom prst="roundRect">
          <a:avLst/>
        </a:prstGeom>
        <a:solidFill>
          <a:srgbClr val="54823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0</xdr:col>
      <xdr:colOff>371475</xdr:colOff>
      <xdr:row>20</xdr:row>
      <xdr:rowOff>152400</xdr:rowOff>
    </xdr:from>
    <xdr:to>
      <xdr:col>0</xdr:col>
      <xdr:colOff>742950</xdr:colOff>
      <xdr:row>28</xdr:row>
      <xdr:rowOff>19050</xdr:rowOff>
    </xdr:to>
    <xdr:sp>
      <xdr:nvSpPr>
        <xdr:cNvPr id="4" name="Rectangle: Rounded Corners 12"/>
        <xdr:cNvSpPr>
          <a:spLocks/>
        </xdr:cNvSpPr>
      </xdr:nvSpPr>
      <xdr:spPr>
        <a:xfrm>
          <a:off x="371475" y="4105275"/>
          <a:ext cx="371475" cy="1428750"/>
        </a:xfrm>
        <a:prstGeom prst="roundRect">
          <a:avLst/>
        </a:prstGeom>
        <a:solidFill>
          <a:srgbClr val="54823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28575</xdr:rowOff>
    </xdr:from>
    <xdr:to>
      <xdr:col>1</xdr:col>
      <xdr:colOff>523875</xdr:colOff>
      <xdr:row>7</xdr:row>
      <xdr:rowOff>133350</xdr:rowOff>
    </xdr:to>
    <xdr:sp>
      <xdr:nvSpPr>
        <xdr:cNvPr id="1" name="Text 1"/>
        <xdr:cNvSpPr>
          <a:spLocks/>
        </xdr:cNvSpPr>
      </xdr:nvSpPr>
      <xdr:spPr>
        <a:xfrm>
          <a:off x="552450" y="600075"/>
          <a:ext cx="419100" cy="6953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104775</xdr:colOff>
      <xdr:row>10</xdr:row>
      <xdr:rowOff>28575</xdr:rowOff>
    </xdr:from>
    <xdr:to>
      <xdr:col>1</xdr:col>
      <xdr:colOff>523875</xdr:colOff>
      <xdr:row>14</xdr:row>
      <xdr:rowOff>133350</xdr:rowOff>
    </xdr:to>
    <xdr:sp>
      <xdr:nvSpPr>
        <xdr:cNvPr id="2" name="Text 2"/>
        <xdr:cNvSpPr>
          <a:spLocks/>
        </xdr:cNvSpPr>
      </xdr:nvSpPr>
      <xdr:spPr>
        <a:xfrm>
          <a:off x="552450" y="1552575"/>
          <a:ext cx="419100" cy="6953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104775</xdr:colOff>
      <xdr:row>17</xdr:row>
      <xdr:rowOff>28575</xdr:rowOff>
    </xdr:from>
    <xdr:to>
      <xdr:col>1</xdr:col>
      <xdr:colOff>523875</xdr:colOff>
      <xdr:row>21</xdr:row>
      <xdr:rowOff>133350</xdr:rowOff>
    </xdr:to>
    <xdr:sp>
      <xdr:nvSpPr>
        <xdr:cNvPr id="3" name="Text 3"/>
        <xdr:cNvSpPr>
          <a:spLocks/>
        </xdr:cNvSpPr>
      </xdr:nvSpPr>
      <xdr:spPr>
        <a:xfrm>
          <a:off x="552450" y="2505075"/>
          <a:ext cx="419100" cy="6953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104775</xdr:colOff>
      <xdr:row>24</xdr:row>
      <xdr:rowOff>28575</xdr:rowOff>
    </xdr:from>
    <xdr:to>
      <xdr:col>1</xdr:col>
      <xdr:colOff>523875</xdr:colOff>
      <xdr:row>28</xdr:row>
      <xdr:rowOff>133350</xdr:rowOff>
    </xdr:to>
    <xdr:sp>
      <xdr:nvSpPr>
        <xdr:cNvPr id="4" name="Text 4"/>
        <xdr:cNvSpPr>
          <a:spLocks/>
        </xdr:cNvSpPr>
      </xdr:nvSpPr>
      <xdr:spPr>
        <a:xfrm>
          <a:off x="552450" y="3457575"/>
          <a:ext cx="419100" cy="6953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104775</xdr:colOff>
      <xdr:row>31</xdr:row>
      <xdr:rowOff>28575</xdr:rowOff>
    </xdr:from>
    <xdr:to>
      <xdr:col>1</xdr:col>
      <xdr:colOff>523875</xdr:colOff>
      <xdr:row>35</xdr:row>
      <xdr:rowOff>133350</xdr:rowOff>
    </xdr:to>
    <xdr:sp>
      <xdr:nvSpPr>
        <xdr:cNvPr id="5" name="Text 5"/>
        <xdr:cNvSpPr>
          <a:spLocks/>
        </xdr:cNvSpPr>
      </xdr:nvSpPr>
      <xdr:spPr>
        <a:xfrm>
          <a:off x="552450" y="4410075"/>
          <a:ext cx="419100" cy="6953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104775</xdr:colOff>
      <xdr:row>38</xdr:row>
      <xdr:rowOff>28575</xdr:rowOff>
    </xdr:from>
    <xdr:to>
      <xdr:col>1</xdr:col>
      <xdr:colOff>523875</xdr:colOff>
      <xdr:row>42</xdr:row>
      <xdr:rowOff>133350</xdr:rowOff>
    </xdr:to>
    <xdr:sp>
      <xdr:nvSpPr>
        <xdr:cNvPr id="6" name="Text 6"/>
        <xdr:cNvSpPr>
          <a:spLocks/>
        </xdr:cNvSpPr>
      </xdr:nvSpPr>
      <xdr:spPr>
        <a:xfrm>
          <a:off x="552450" y="5362575"/>
          <a:ext cx="419100" cy="6953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</xdr:col>
      <xdr:colOff>85725</xdr:colOff>
      <xdr:row>46</xdr:row>
      <xdr:rowOff>47625</xdr:rowOff>
    </xdr:from>
    <xdr:to>
      <xdr:col>1</xdr:col>
      <xdr:colOff>542925</xdr:colOff>
      <xdr:row>51</xdr:row>
      <xdr:rowOff>85725</xdr:rowOff>
    </xdr:to>
    <xdr:sp>
      <xdr:nvSpPr>
        <xdr:cNvPr id="7" name="Text 69"/>
        <xdr:cNvSpPr>
          <a:spLocks/>
        </xdr:cNvSpPr>
      </xdr:nvSpPr>
      <xdr:spPr>
        <a:xfrm>
          <a:off x="533400" y="6477000"/>
          <a:ext cx="457200" cy="7715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rds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18</xdr:row>
      <xdr:rowOff>47625</xdr:rowOff>
    </xdr:from>
    <xdr:to>
      <xdr:col>4</xdr:col>
      <xdr:colOff>200025</xdr:colOff>
      <xdr:row>20</xdr:row>
      <xdr:rowOff>95250</xdr:rowOff>
    </xdr:to>
    <xdr:sp>
      <xdr:nvSpPr>
        <xdr:cNvPr id="1" name="Text 7"/>
        <xdr:cNvSpPr>
          <a:spLocks/>
        </xdr:cNvSpPr>
      </xdr:nvSpPr>
      <xdr:spPr>
        <a:xfrm>
          <a:off x="1628775" y="3019425"/>
          <a:ext cx="1695450" cy="361950"/>
        </a:xfrm>
        <a:prstGeom prst="round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© McRopod Concepts 2024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16</xdr:row>
      <xdr:rowOff>142875</xdr:rowOff>
    </xdr:from>
    <xdr:to>
      <xdr:col>15</xdr:col>
      <xdr:colOff>123825</xdr:colOff>
      <xdr:row>17</xdr:row>
      <xdr:rowOff>219075</xdr:rowOff>
    </xdr:to>
    <xdr:sp>
      <xdr:nvSpPr>
        <xdr:cNvPr id="1" name="Text 7"/>
        <xdr:cNvSpPr>
          <a:spLocks/>
        </xdr:cNvSpPr>
      </xdr:nvSpPr>
      <xdr:spPr>
        <a:xfrm>
          <a:off x="6753225" y="4362450"/>
          <a:ext cx="1695450" cy="323850"/>
        </a:xfrm>
        <a:prstGeom prst="round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© McRopod Concepts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2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421875" style="6" customWidth="1"/>
    <col min="2" max="2" width="3.28125" style="5" customWidth="1"/>
    <col min="3" max="3" width="9.140625" style="6" customWidth="1"/>
    <col min="4" max="4" width="11.00390625" style="6" customWidth="1"/>
    <col min="5" max="5" width="9.7109375" style="7" customWidth="1"/>
    <col min="6" max="6" width="8.28125" style="8" customWidth="1"/>
    <col min="7" max="7" width="15.7109375" style="9" customWidth="1"/>
    <col min="8" max="8" width="2.7109375" style="5" customWidth="1"/>
    <col min="9" max="9" width="15.7109375" style="6" customWidth="1"/>
    <col min="10" max="11" width="4.7109375" style="5" customWidth="1"/>
    <col min="12" max="12" width="8.421875" style="6" customWidth="1"/>
    <col min="13" max="20" width="9.140625" style="6" hidden="1" customWidth="1"/>
    <col min="21" max="23" width="5.7109375" style="6" hidden="1" customWidth="1"/>
    <col min="24" max="30" width="9.140625" style="6" customWidth="1"/>
    <col min="31" max="31" width="9.140625" style="6" hidden="1" customWidth="1"/>
    <col min="32" max="33" width="0" style="6" hidden="1" customWidth="1"/>
    <col min="34" max="34" width="9.140625" style="6" hidden="1" customWidth="1"/>
    <col min="35" max="16384" width="9.140625" style="6" customWidth="1"/>
  </cols>
  <sheetData>
    <row r="1" ht="34.5" customHeight="1" thickBot="1">
      <c r="A1" s="150" t="str">
        <f>McRopod!K1</f>
        <v>V1 - 2501</v>
      </c>
    </row>
    <row r="2" spans="2:34" ht="12.75" thickBot="1" thickTop="1">
      <c r="B2" s="10" t="s">
        <v>0</v>
      </c>
      <c r="C2" s="11" t="s">
        <v>1</v>
      </c>
      <c r="D2" s="11" t="s">
        <v>2</v>
      </c>
      <c r="E2" s="13" t="s">
        <v>168</v>
      </c>
      <c r="F2" s="14"/>
      <c r="G2" s="98"/>
      <c r="H2" s="99"/>
      <c r="I2" s="12"/>
      <c r="J2" s="15" t="s">
        <v>3</v>
      </c>
      <c r="K2" s="16"/>
      <c r="P2" s="6" t="s">
        <v>109</v>
      </c>
      <c r="Q2" s="6" t="s">
        <v>110</v>
      </c>
      <c r="AH2" s="6" t="s">
        <v>2</v>
      </c>
    </row>
    <row r="3" spans="2:34" ht="12" thickTop="1">
      <c r="B3" s="199">
        <v>1</v>
      </c>
      <c r="C3" s="114"/>
      <c r="D3" s="167" t="s">
        <v>170</v>
      </c>
      <c r="E3" s="168">
        <v>45462</v>
      </c>
      <c r="F3" s="169">
        <v>0.75</v>
      </c>
      <c r="G3" s="115" t="s">
        <v>119</v>
      </c>
      <c r="H3" s="116" t="s">
        <v>4</v>
      </c>
      <c r="I3" s="114" t="s">
        <v>140</v>
      </c>
      <c r="J3" s="100"/>
      <c r="K3" s="101"/>
      <c r="M3" s="6" t="str">
        <f>G3</f>
        <v>Germany</v>
      </c>
      <c r="N3" s="6" t="s">
        <v>4</v>
      </c>
      <c r="O3" s="6" t="str">
        <f>I3</f>
        <v>Hungary</v>
      </c>
      <c r="P3" s="180">
        <f aca="true" t="shared" si="0" ref="P3:Q6">E3</f>
        <v>45462</v>
      </c>
      <c r="Q3" s="181">
        <f t="shared" si="0"/>
        <v>0.75</v>
      </c>
      <c r="S3" s="5" t="s">
        <v>124</v>
      </c>
      <c r="T3" s="5" t="s">
        <v>144</v>
      </c>
      <c r="U3" s="5" t="s">
        <v>124</v>
      </c>
      <c r="V3" s="5"/>
      <c r="W3" s="5" t="s">
        <v>144</v>
      </c>
      <c r="AE3" s="6">
        <v>2</v>
      </c>
      <c r="AH3" s="6" t="s">
        <v>111</v>
      </c>
    </row>
    <row r="4" spans="2:34" ht="11.25">
      <c r="B4" s="200">
        <v>2</v>
      </c>
      <c r="C4" s="118"/>
      <c r="D4" s="148" t="s">
        <v>169</v>
      </c>
      <c r="E4" s="170">
        <f>E3</f>
        <v>45462</v>
      </c>
      <c r="F4" s="171">
        <v>0.875</v>
      </c>
      <c r="G4" s="119" t="s">
        <v>154</v>
      </c>
      <c r="H4" s="120" t="s">
        <v>4</v>
      </c>
      <c r="I4" s="118" t="s">
        <v>121</v>
      </c>
      <c r="J4" s="27"/>
      <c r="K4" s="28"/>
      <c r="M4" s="6" t="str">
        <f>G4</f>
        <v>Scotland</v>
      </c>
      <c r="N4" s="6" t="s">
        <v>4</v>
      </c>
      <c r="O4" s="6" t="str">
        <f>I4</f>
        <v>Switzerland</v>
      </c>
      <c r="P4" s="180">
        <f t="shared" si="0"/>
        <v>45462</v>
      </c>
      <c r="Q4" s="181">
        <f t="shared" si="0"/>
        <v>0.875</v>
      </c>
      <c r="S4" s="5" t="s">
        <v>158</v>
      </c>
      <c r="T4" s="5" t="s">
        <v>233</v>
      </c>
      <c r="U4" s="5" t="s">
        <v>158</v>
      </c>
      <c r="V4" s="5"/>
      <c r="W4" s="5" t="s">
        <v>233</v>
      </c>
      <c r="AE4" s="6">
        <v>4</v>
      </c>
      <c r="AH4" s="6" t="s">
        <v>111</v>
      </c>
    </row>
    <row r="5" spans="2:34" ht="11.25">
      <c r="B5" s="200">
        <v>14</v>
      </c>
      <c r="C5" s="118"/>
      <c r="D5" s="148" t="s">
        <v>155</v>
      </c>
      <c r="E5" s="170">
        <v>45457</v>
      </c>
      <c r="F5" s="171">
        <v>0.875</v>
      </c>
      <c r="G5" s="119" t="str">
        <f>G3</f>
        <v>Germany</v>
      </c>
      <c r="H5" s="120" t="s">
        <v>4</v>
      </c>
      <c r="I5" s="118" t="str">
        <f>G4</f>
        <v>Scotland</v>
      </c>
      <c r="J5" s="27"/>
      <c r="K5" s="28"/>
      <c r="M5" s="6" t="str">
        <f>M3</f>
        <v>Germany</v>
      </c>
      <c r="N5" s="6" t="s">
        <v>4</v>
      </c>
      <c r="O5" s="6" t="str">
        <f>M4</f>
        <v>Scotland</v>
      </c>
      <c r="P5" s="180">
        <f t="shared" si="0"/>
        <v>45457</v>
      </c>
      <c r="Q5" s="181">
        <f t="shared" si="0"/>
        <v>0.875</v>
      </c>
      <c r="S5" s="5" t="s">
        <v>124</v>
      </c>
      <c r="T5" s="5" t="s">
        <v>158</v>
      </c>
      <c r="U5" s="5" t="str">
        <f>U3</f>
        <v>GER</v>
      </c>
      <c r="V5" s="5"/>
      <c r="W5" s="5" t="str">
        <f>U4</f>
        <v>SCO</v>
      </c>
      <c r="AE5" s="6">
        <v>13</v>
      </c>
      <c r="AH5" s="6" t="s">
        <v>111</v>
      </c>
    </row>
    <row r="6" spans="2:34" ht="11.25">
      <c r="B6" s="200">
        <v>15</v>
      </c>
      <c r="C6" s="118"/>
      <c r="D6" s="148" t="s">
        <v>169</v>
      </c>
      <c r="E6" s="170">
        <v>45458</v>
      </c>
      <c r="F6" s="171">
        <v>0.625</v>
      </c>
      <c r="G6" s="119" t="str">
        <f>I3</f>
        <v>Hungary</v>
      </c>
      <c r="H6" s="120" t="s">
        <v>4</v>
      </c>
      <c r="I6" s="118" t="str">
        <f>I4</f>
        <v>Switzerland</v>
      </c>
      <c r="J6" s="27"/>
      <c r="K6" s="28"/>
      <c r="M6" s="6" t="str">
        <f>O3</f>
        <v>Hungary</v>
      </c>
      <c r="N6" s="6" t="s">
        <v>4</v>
      </c>
      <c r="O6" s="6" t="str">
        <f>O4</f>
        <v>Switzerland</v>
      </c>
      <c r="P6" s="180">
        <f t="shared" si="0"/>
        <v>45458</v>
      </c>
      <c r="Q6" s="181">
        <f t="shared" si="0"/>
        <v>0.625</v>
      </c>
      <c r="S6" s="5" t="s">
        <v>144</v>
      </c>
      <c r="T6" s="5" t="s">
        <v>233</v>
      </c>
      <c r="U6" s="5" t="str">
        <f>W3</f>
        <v>HUN</v>
      </c>
      <c r="V6" s="5"/>
      <c r="W6" s="5" t="str">
        <f>W4</f>
        <v>HEL</v>
      </c>
      <c r="AE6" s="6">
        <v>15</v>
      </c>
      <c r="AH6" s="6" t="s">
        <v>111</v>
      </c>
    </row>
    <row r="7" spans="2:34" ht="11.25">
      <c r="B7" s="200">
        <v>25</v>
      </c>
      <c r="C7" s="118"/>
      <c r="D7" s="148" t="s">
        <v>147</v>
      </c>
      <c r="E7" s="170">
        <v>45466</v>
      </c>
      <c r="F7" s="171">
        <v>0.875</v>
      </c>
      <c r="G7" s="119" t="str">
        <f>I3</f>
        <v>Hungary</v>
      </c>
      <c r="H7" s="120" t="s">
        <v>4</v>
      </c>
      <c r="I7" s="118" t="str">
        <f>G4</f>
        <v>Scotland</v>
      </c>
      <c r="J7" s="27"/>
      <c r="K7" s="28"/>
      <c r="M7" s="6" t="str">
        <f>O3</f>
        <v>Hungary</v>
      </c>
      <c r="N7" s="6" t="s">
        <v>4</v>
      </c>
      <c r="O7" s="6" t="str">
        <f>M4</f>
        <v>Scotland</v>
      </c>
      <c r="P7" s="180">
        <f>E8</f>
        <v>45466</v>
      </c>
      <c r="Q7" s="181">
        <f>F8</f>
        <v>0.875</v>
      </c>
      <c r="S7" s="5" t="s">
        <v>144</v>
      </c>
      <c r="T7" s="5" t="s">
        <v>158</v>
      </c>
      <c r="U7" s="5" t="str">
        <f>W3</f>
        <v>HUN</v>
      </c>
      <c r="V7" s="5"/>
      <c r="W7" s="5" t="str">
        <f>U4</f>
        <v>SCO</v>
      </c>
      <c r="AE7" s="6">
        <v>27</v>
      </c>
      <c r="AH7" s="6" t="s">
        <v>111</v>
      </c>
    </row>
    <row r="8" spans="2:34" ht="12" thickBot="1">
      <c r="B8" s="201">
        <v>26</v>
      </c>
      <c r="C8" s="122"/>
      <c r="D8" s="149" t="s">
        <v>148</v>
      </c>
      <c r="E8" s="172">
        <f>E7</f>
        <v>45466</v>
      </c>
      <c r="F8" s="173">
        <f>F7</f>
        <v>0.875</v>
      </c>
      <c r="G8" s="123" t="str">
        <f>I4</f>
        <v>Switzerland</v>
      </c>
      <c r="H8" s="124" t="s">
        <v>4</v>
      </c>
      <c r="I8" s="122" t="str">
        <f>G3</f>
        <v>Germany</v>
      </c>
      <c r="J8" s="29"/>
      <c r="K8" s="30"/>
      <c r="M8" s="6" t="str">
        <f>O4</f>
        <v>Switzerland</v>
      </c>
      <c r="N8" s="6" t="s">
        <v>4</v>
      </c>
      <c r="O8" s="6" t="str">
        <f>M3</f>
        <v>Germany</v>
      </c>
      <c r="P8" s="180">
        <f>E7</f>
        <v>45466</v>
      </c>
      <c r="Q8" s="181">
        <f>F7</f>
        <v>0.875</v>
      </c>
      <c r="S8" s="5" t="s">
        <v>233</v>
      </c>
      <c r="T8" s="5" t="s">
        <v>124</v>
      </c>
      <c r="U8" s="5" t="str">
        <f>W4</f>
        <v>HEL</v>
      </c>
      <c r="V8" s="5"/>
      <c r="W8" s="5" t="str">
        <f>U3</f>
        <v>GER</v>
      </c>
      <c r="AE8" s="6">
        <v>28</v>
      </c>
      <c r="AH8" s="6" t="s">
        <v>112</v>
      </c>
    </row>
    <row r="9" spans="2:23" ht="12.75" thickBot="1" thickTop="1">
      <c r="B9" s="202"/>
      <c r="C9" s="18"/>
      <c r="D9" s="18"/>
      <c r="E9" s="19"/>
      <c r="F9" s="20"/>
      <c r="G9" s="18"/>
      <c r="H9" s="18"/>
      <c r="I9" s="18"/>
      <c r="J9" s="18"/>
      <c r="K9" s="21"/>
      <c r="S9" s="5"/>
      <c r="T9" s="5"/>
      <c r="U9" s="5"/>
      <c r="V9" s="5"/>
      <c r="W9" s="5"/>
    </row>
    <row r="10" spans="2:34" ht="12" thickTop="1">
      <c r="B10" s="199">
        <v>3</v>
      </c>
      <c r="C10" s="114"/>
      <c r="D10" s="167" t="s">
        <v>172</v>
      </c>
      <c r="E10" s="168">
        <v>45458</v>
      </c>
      <c r="F10" s="169">
        <v>0.75</v>
      </c>
      <c r="G10" s="115" t="s">
        <v>123</v>
      </c>
      <c r="H10" s="116" t="s">
        <v>4</v>
      </c>
      <c r="I10" s="114" t="s">
        <v>135</v>
      </c>
      <c r="J10" s="100"/>
      <c r="K10" s="101"/>
      <c r="M10" s="6" t="s">
        <v>149</v>
      </c>
      <c r="N10" s="6" t="s">
        <v>4</v>
      </c>
      <c r="O10" s="6" t="s">
        <v>150</v>
      </c>
      <c r="P10" s="180">
        <f>E10</f>
        <v>45458</v>
      </c>
      <c r="Q10" s="181">
        <f>F10</f>
        <v>0.75</v>
      </c>
      <c r="S10" s="5" t="s">
        <v>125</v>
      </c>
      <c r="T10" s="5" t="s">
        <v>234</v>
      </c>
      <c r="U10" s="5" t="s">
        <v>125</v>
      </c>
      <c r="V10" s="5"/>
      <c r="W10" s="5" t="s">
        <v>234</v>
      </c>
      <c r="AE10" s="6">
        <v>1</v>
      </c>
      <c r="AH10" s="6" t="s">
        <v>112</v>
      </c>
    </row>
    <row r="11" spans="2:34" ht="11.25">
      <c r="B11" s="200">
        <v>4</v>
      </c>
      <c r="C11" s="118"/>
      <c r="D11" s="148" t="s">
        <v>173</v>
      </c>
      <c r="E11" s="170">
        <f>E10</f>
        <v>45458</v>
      </c>
      <c r="F11" s="171">
        <v>0.875</v>
      </c>
      <c r="G11" s="119" t="s">
        <v>138</v>
      </c>
      <c r="H11" s="120" t="s">
        <v>4</v>
      </c>
      <c r="I11" s="118" t="s">
        <v>171</v>
      </c>
      <c r="J11" s="27"/>
      <c r="K11" s="28"/>
      <c r="M11" s="6" t="s">
        <v>137</v>
      </c>
      <c r="N11" s="6" t="s">
        <v>4</v>
      </c>
      <c r="O11" s="6" t="s">
        <v>134</v>
      </c>
      <c r="P11" s="180">
        <f>E11</f>
        <v>45458</v>
      </c>
      <c r="Q11" s="181">
        <f>F11</f>
        <v>0.875</v>
      </c>
      <c r="S11" s="5" t="s">
        <v>235</v>
      </c>
      <c r="T11" s="5" t="s">
        <v>236</v>
      </c>
      <c r="U11" s="5" t="s">
        <v>235</v>
      </c>
      <c r="V11" s="5"/>
      <c r="W11" s="5" t="s">
        <v>236</v>
      </c>
      <c r="AE11" s="6">
        <v>3</v>
      </c>
      <c r="AH11" s="6" t="s">
        <v>112</v>
      </c>
    </row>
    <row r="12" spans="2:34" ht="11.25">
      <c r="B12" s="200">
        <v>13</v>
      </c>
      <c r="C12" s="118"/>
      <c r="D12" s="148" t="s">
        <v>174</v>
      </c>
      <c r="E12" s="170">
        <v>44366</v>
      </c>
      <c r="F12" s="171">
        <v>0.625</v>
      </c>
      <c r="G12" s="119" t="str">
        <f>I10</f>
        <v>Croatia</v>
      </c>
      <c r="H12" s="120" t="s">
        <v>4</v>
      </c>
      <c r="I12" s="118" t="str">
        <f>I11</f>
        <v>Albania</v>
      </c>
      <c r="J12" s="27"/>
      <c r="K12" s="28"/>
      <c r="M12" s="6" t="s">
        <v>150</v>
      </c>
      <c r="N12" s="6" t="s">
        <v>4</v>
      </c>
      <c r="O12" s="6" t="s">
        <v>134</v>
      </c>
      <c r="P12" s="180">
        <f>E13</f>
        <v>45463</v>
      </c>
      <c r="Q12" s="181">
        <f>F13</f>
        <v>0.875</v>
      </c>
      <c r="S12" s="5" t="s">
        <v>234</v>
      </c>
      <c r="T12" s="5" t="s">
        <v>236</v>
      </c>
      <c r="U12" s="5" t="str">
        <f>W10</f>
        <v>HRV</v>
      </c>
      <c r="V12" s="5"/>
      <c r="W12" s="5" t="str">
        <f>W11</f>
        <v>ALB</v>
      </c>
      <c r="AE12" s="6">
        <v>14</v>
      </c>
      <c r="AH12" s="6" t="s">
        <v>112</v>
      </c>
    </row>
    <row r="13" spans="2:34" ht="11.25">
      <c r="B13" s="200">
        <v>18</v>
      </c>
      <c r="C13" s="118"/>
      <c r="D13" s="148" t="s">
        <v>175</v>
      </c>
      <c r="E13" s="170">
        <v>45463</v>
      </c>
      <c r="F13" s="171">
        <v>0.875</v>
      </c>
      <c r="G13" s="119" t="str">
        <f>G10</f>
        <v>Spain</v>
      </c>
      <c r="H13" s="120" t="s">
        <v>4</v>
      </c>
      <c r="I13" s="118" t="str">
        <f>G11</f>
        <v>Italy</v>
      </c>
      <c r="J13" s="27"/>
      <c r="K13" s="28"/>
      <c r="M13" s="6" t="s">
        <v>149</v>
      </c>
      <c r="N13" s="6" t="s">
        <v>4</v>
      </c>
      <c r="O13" s="6" t="s">
        <v>137</v>
      </c>
      <c r="P13" s="180">
        <f>E12</f>
        <v>44366</v>
      </c>
      <c r="Q13" s="181">
        <f>F12</f>
        <v>0.625</v>
      </c>
      <c r="S13" s="5" t="s">
        <v>125</v>
      </c>
      <c r="T13" s="5" t="s">
        <v>235</v>
      </c>
      <c r="U13" s="5" t="str">
        <f>U10</f>
        <v>ESP</v>
      </c>
      <c r="V13" s="5"/>
      <c r="W13" s="5" t="str">
        <f>U11</f>
        <v>ITL</v>
      </c>
      <c r="AE13" s="6">
        <v>16</v>
      </c>
      <c r="AH13" s="6" t="s">
        <v>112</v>
      </c>
    </row>
    <row r="14" spans="2:34" ht="11.25">
      <c r="B14" s="200">
        <v>28</v>
      </c>
      <c r="C14" s="118"/>
      <c r="D14" s="148" t="s">
        <v>177</v>
      </c>
      <c r="E14" s="170">
        <v>44371</v>
      </c>
      <c r="F14" s="171">
        <v>0.875</v>
      </c>
      <c r="G14" s="119" t="str">
        <f>I10</f>
        <v>Croatia</v>
      </c>
      <c r="H14" s="120" t="s">
        <v>4</v>
      </c>
      <c r="I14" s="118" t="str">
        <f>G11</f>
        <v>Italy</v>
      </c>
      <c r="J14" s="27"/>
      <c r="K14" s="28"/>
      <c r="M14" s="6" t="s">
        <v>150</v>
      </c>
      <c r="N14" s="6" t="s">
        <v>4</v>
      </c>
      <c r="O14" s="6" t="s">
        <v>137</v>
      </c>
      <c r="P14" s="180">
        <f>E15</f>
        <v>44371</v>
      </c>
      <c r="Q14" s="181">
        <f>F15</f>
        <v>0.875</v>
      </c>
      <c r="S14" s="5" t="s">
        <v>234</v>
      </c>
      <c r="T14" s="5" t="s">
        <v>235</v>
      </c>
      <c r="U14" s="5" t="str">
        <f>W10</f>
        <v>HRV</v>
      </c>
      <c r="V14" s="5"/>
      <c r="W14" s="5" t="str">
        <f>U11</f>
        <v>ITL</v>
      </c>
      <c r="AE14" s="6">
        <v>25</v>
      </c>
      <c r="AH14" s="6" t="s">
        <v>111</v>
      </c>
    </row>
    <row r="15" spans="2:34" ht="12" thickBot="1">
      <c r="B15" s="201">
        <v>27</v>
      </c>
      <c r="C15" s="122"/>
      <c r="D15" s="149" t="s">
        <v>176</v>
      </c>
      <c r="E15" s="172">
        <f>E14</f>
        <v>44371</v>
      </c>
      <c r="F15" s="173">
        <f>F14</f>
        <v>0.875</v>
      </c>
      <c r="G15" s="123" t="str">
        <f>I11</f>
        <v>Albania</v>
      </c>
      <c r="H15" s="124" t="s">
        <v>4</v>
      </c>
      <c r="I15" s="122" t="str">
        <f>G10</f>
        <v>Spain</v>
      </c>
      <c r="J15" s="29"/>
      <c r="K15" s="30"/>
      <c r="M15" s="6" t="s">
        <v>134</v>
      </c>
      <c r="N15" s="6" t="s">
        <v>4</v>
      </c>
      <c r="O15" s="6" t="s">
        <v>149</v>
      </c>
      <c r="P15" s="180">
        <f>E14</f>
        <v>44371</v>
      </c>
      <c r="Q15" s="181">
        <f>F14</f>
        <v>0.875</v>
      </c>
      <c r="S15" s="5" t="s">
        <v>236</v>
      </c>
      <c r="T15" s="5" t="s">
        <v>125</v>
      </c>
      <c r="U15" s="5" t="str">
        <f>W11</f>
        <v>ALB</v>
      </c>
      <c r="V15" s="5"/>
      <c r="W15" s="5" t="str">
        <f>U10</f>
        <v>ESP</v>
      </c>
      <c r="AE15" s="6">
        <v>26</v>
      </c>
      <c r="AH15" s="6" t="s">
        <v>112</v>
      </c>
    </row>
    <row r="16" spans="2:23" ht="12.75" thickBot="1" thickTop="1">
      <c r="B16" s="202"/>
      <c r="C16" s="18"/>
      <c r="D16" s="174"/>
      <c r="E16" s="175"/>
      <c r="F16" s="176"/>
      <c r="G16" s="18"/>
      <c r="H16" s="18"/>
      <c r="I16" s="18"/>
      <c r="J16" s="18"/>
      <c r="K16" s="21"/>
      <c r="S16" s="5"/>
      <c r="T16" s="5"/>
      <c r="U16" s="5"/>
      <c r="V16" s="5"/>
      <c r="W16" s="5"/>
    </row>
    <row r="17" spans="2:34" ht="12" thickTop="1">
      <c r="B17" s="199">
        <v>6</v>
      </c>
      <c r="C17" s="114"/>
      <c r="D17" s="167" t="s">
        <v>170</v>
      </c>
      <c r="E17" s="168">
        <v>44363</v>
      </c>
      <c r="F17" s="169">
        <v>0.75</v>
      </c>
      <c r="G17" s="115" t="s">
        <v>178</v>
      </c>
      <c r="H17" s="116" t="s">
        <v>4</v>
      </c>
      <c r="I17" s="114" t="s">
        <v>149</v>
      </c>
      <c r="J17" s="100"/>
      <c r="K17" s="101"/>
      <c r="M17" s="6" t="s">
        <v>139</v>
      </c>
      <c r="N17" s="6" t="s">
        <v>4</v>
      </c>
      <c r="O17" s="6" t="s">
        <v>152</v>
      </c>
      <c r="P17" s="180">
        <f aca="true" t="shared" si="1" ref="P17:Q20">E17</f>
        <v>44363</v>
      </c>
      <c r="Q17" s="181">
        <f t="shared" si="1"/>
        <v>0.75</v>
      </c>
      <c r="S17" s="5" t="s">
        <v>237</v>
      </c>
      <c r="T17" s="5" t="s">
        <v>156</v>
      </c>
      <c r="U17" s="5" t="s">
        <v>237</v>
      </c>
      <c r="V17" s="5"/>
      <c r="W17" s="5" t="s">
        <v>156</v>
      </c>
      <c r="AE17" s="6">
        <v>5</v>
      </c>
      <c r="AH17" s="6" t="s">
        <v>113</v>
      </c>
    </row>
    <row r="18" spans="2:34" ht="11.25">
      <c r="B18" s="200">
        <v>7</v>
      </c>
      <c r="C18" s="118"/>
      <c r="D18" s="148" t="s">
        <v>175</v>
      </c>
      <c r="E18" s="170">
        <f>E17</f>
        <v>44363</v>
      </c>
      <c r="F18" s="171">
        <v>0.875</v>
      </c>
      <c r="G18" s="119" t="s">
        <v>179</v>
      </c>
      <c r="H18" s="120" t="s">
        <v>4</v>
      </c>
      <c r="I18" s="118" t="s">
        <v>5</v>
      </c>
      <c r="J18" s="27"/>
      <c r="K18" s="28"/>
      <c r="M18" s="6" t="s">
        <v>153</v>
      </c>
      <c r="N18" s="6" t="s">
        <v>4</v>
      </c>
      <c r="O18" s="6" t="s">
        <v>131</v>
      </c>
      <c r="P18" s="180">
        <f t="shared" si="1"/>
        <v>44363</v>
      </c>
      <c r="Q18" s="181">
        <f t="shared" si="1"/>
        <v>0.875</v>
      </c>
      <c r="S18" s="5" t="s">
        <v>238</v>
      </c>
      <c r="T18" s="5" t="s">
        <v>127</v>
      </c>
      <c r="U18" s="5" t="s">
        <v>238</v>
      </c>
      <c r="V18" s="5"/>
      <c r="W18" s="5" t="s">
        <v>127</v>
      </c>
      <c r="AE18" s="6">
        <v>7</v>
      </c>
      <c r="AH18" s="6" t="s">
        <v>113</v>
      </c>
    </row>
    <row r="19" spans="2:34" ht="11.25">
      <c r="B19" s="200">
        <v>17</v>
      </c>
      <c r="C19" s="118"/>
      <c r="D19" s="148" t="s">
        <v>229</v>
      </c>
      <c r="E19" s="170">
        <v>44364</v>
      </c>
      <c r="F19" s="171">
        <v>0.9583333333333334</v>
      </c>
      <c r="G19" s="119" t="str">
        <f>I17</f>
        <v>Denmark</v>
      </c>
      <c r="H19" s="120" t="s">
        <v>4</v>
      </c>
      <c r="I19" s="118" t="str">
        <f>I18</f>
        <v>England</v>
      </c>
      <c r="J19" s="27"/>
      <c r="K19" s="28"/>
      <c r="M19" s="6" t="s">
        <v>131</v>
      </c>
      <c r="N19" s="6" t="s">
        <v>4</v>
      </c>
      <c r="O19" s="6" t="s">
        <v>152</v>
      </c>
      <c r="P19" s="180">
        <f t="shared" si="1"/>
        <v>44364</v>
      </c>
      <c r="Q19" s="181">
        <f t="shared" si="1"/>
        <v>0.9583333333333334</v>
      </c>
      <c r="S19" s="5" t="s">
        <v>156</v>
      </c>
      <c r="T19" s="5" t="s">
        <v>127</v>
      </c>
      <c r="U19" s="5" t="str">
        <f>W17</f>
        <v>DEN</v>
      </c>
      <c r="V19" s="5"/>
      <c r="W19" s="5" t="str">
        <f>W18</f>
        <v>ENG</v>
      </c>
      <c r="AE19" s="6">
        <v>17</v>
      </c>
      <c r="AH19" s="6" t="s">
        <v>114</v>
      </c>
    </row>
    <row r="20" spans="2:34" ht="11.25">
      <c r="B20" s="200">
        <v>16</v>
      </c>
      <c r="C20" s="118"/>
      <c r="D20" s="148" t="s">
        <v>155</v>
      </c>
      <c r="E20" s="170">
        <v>44365</v>
      </c>
      <c r="F20" s="171">
        <v>0.20833333333333334</v>
      </c>
      <c r="G20" s="119" t="str">
        <f>G17</f>
        <v>Slovenia</v>
      </c>
      <c r="H20" s="120" t="s">
        <v>4</v>
      </c>
      <c r="I20" s="118" t="str">
        <f>G18</f>
        <v>Serbia</v>
      </c>
      <c r="J20" s="27"/>
      <c r="K20" s="28"/>
      <c r="M20" s="6" t="s">
        <v>153</v>
      </c>
      <c r="N20" s="6" t="s">
        <v>4</v>
      </c>
      <c r="O20" s="6" t="s">
        <v>139</v>
      </c>
      <c r="P20" s="180">
        <f t="shared" si="1"/>
        <v>44365</v>
      </c>
      <c r="Q20" s="181">
        <f t="shared" si="1"/>
        <v>0.20833333333333334</v>
      </c>
      <c r="S20" s="5" t="s">
        <v>237</v>
      </c>
      <c r="T20" s="5" t="s">
        <v>238</v>
      </c>
      <c r="U20" s="5" t="str">
        <f>U17</f>
        <v>SLO</v>
      </c>
      <c r="V20" s="5"/>
      <c r="W20" s="5" t="str">
        <f>U18</f>
        <v>SRB</v>
      </c>
      <c r="AE20" s="6">
        <v>19</v>
      </c>
      <c r="AH20" s="6" t="s">
        <v>114</v>
      </c>
    </row>
    <row r="21" spans="2:34" ht="11.25">
      <c r="B21" s="200">
        <v>31</v>
      </c>
      <c r="C21" s="118"/>
      <c r="D21" s="148" t="s">
        <v>169</v>
      </c>
      <c r="E21" s="170">
        <v>44372</v>
      </c>
      <c r="F21" s="171">
        <v>0.875</v>
      </c>
      <c r="G21" s="119" t="str">
        <f>I18</f>
        <v>England</v>
      </c>
      <c r="H21" s="120" t="s">
        <v>4</v>
      </c>
      <c r="I21" s="118" t="str">
        <f>G17</f>
        <v>Slovenia</v>
      </c>
      <c r="J21" s="27"/>
      <c r="K21" s="28"/>
      <c r="M21" s="6" t="s">
        <v>131</v>
      </c>
      <c r="N21" s="6" t="s">
        <v>4</v>
      </c>
      <c r="O21" s="6" t="s">
        <v>139</v>
      </c>
      <c r="P21" s="180">
        <f>E22</f>
        <v>44372</v>
      </c>
      <c r="Q21" s="181">
        <f>F22</f>
        <v>0.875</v>
      </c>
      <c r="S21" s="5" t="s">
        <v>127</v>
      </c>
      <c r="T21" s="5" t="s">
        <v>237</v>
      </c>
      <c r="U21" s="5" t="str">
        <f>W18</f>
        <v>ENG</v>
      </c>
      <c r="V21" s="5"/>
      <c r="W21" s="5" t="str">
        <f>U17</f>
        <v>SLO</v>
      </c>
      <c r="AE21" s="6">
        <v>31</v>
      </c>
      <c r="AH21" s="6" t="s">
        <v>113</v>
      </c>
    </row>
    <row r="22" spans="2:34" ht="12" thickBot="1">
      <c r="B22" s="201">
        <v>32</v>
      </c>
      <c r="C22" s="122"/>
      <c r="D22" s="149" t="s">
        <v>151</v>
      </c>
      <c r="E22" s="172">
        <f>E21</f>
        <v>44372</v>
      </c>
      <c r="F22" s="173">
        <f>F21</f>
        <v>0.875</v>
      </c>
      <c r="G22" s="123" t="str">
        <f>I17</f>
        <v>Denmark</v>
      </c>
      <c r="H22" s="124" t="s">
        <v>4</v>
      </c>
      <c r="I22" s="122" t="str">
        <f>G18</f>
        <v>Serbia</v>
      </c>
      <c r="J22" s="29"/>
      <c r="K22" s="30"/>
      <c r="M22" s="6" t="s">
        <v>152</v>
      </c>
      <c r="N22" s="6" t="s">
        <v>4</v>
      </c>
      <c r="O22" s="6" t="s">
        <v>153</v>
      </c>
      <c r="P22" s="180">
        <f>E21</f>
        <v>44372</v>
      </c>
      <c r="Q22" s="181">
        <f>F21</f>
        <v>0.875</v>
      </c>
      <c r="S22" s="5" t="s">
        <v>156</v>
      </c>
      <c r="T22" s="5" t="s">
        <v>238</v>
      </c>
      <c r="U22" s="5" t="str">
        <f>W17</f>
        <v>DEN</v>
      </c>
      <c r="V22" s="5"/>
      <c r="W22" s="5" t="str">
        <f>U18</f>
        <v>SRB</v>
      </c>
      <c r="AE22" s="6">
        <v>32</v>
      </c>
      <c r="AH22" s="6" t="s">
        <v>115</v>
      </c>
    </row>
    <row r="23" spans="2:23" ht="12.75" thickBot="1" thickTop="1">
      <c r="B23" s="202"/>
      <c r="C23" s="18"/>
      <c r="D23" s="18"/>
      <c r="E23" s="19"/>
      <c r="F23" s="20"/>
      <c r="G23" s="18"/>
      <c r="H23" s="18"/>
      <c r="I23" s="18"/>
      <c r="J23" s="18"/>
      <c r="K23" s="21"/>
      <c r="S23" s="5"/>
      <c r="T23" s="5"/>
      <c r="U23" s="5"/>
      <c r="V23" s="5"/>
      <c r="W23" s="5"/>
    </row>
    <row r="24" spans="2:34" ht="12" thickTop="1">
      <c r="B24" s="199">
        <v>5</v>
      </c>
      <c r="C24" s="114"/>
      <c r="D24" s="167" t="s">
        <v>174</v>
      </c>
      <c r="E24" s="168">
        <v>44363</v>
      </c>
      <c r="F24" s="169">
        <v>0.625</v>
      </c>
      <c r="G24" s="115" t="str">
        <f>IF(PlayOffs!O11="","Play-Off Winner A",PlayOffs!O11)</f>
        <v>Poland</v>
      </c>
      <c r="H24" s="116" t="s">
        <v>4</v>
      </c>
      <c r="I24" s="114" t="s">
        <v>153</v>
      </c>
      <c r="J24" s="100"/>
      <c r="K24" s="101"/>
      <c r="M24" s="6" t="s">
        <v>5</v>
      </c>
      <c r="N24" s="6" t="s">
        <v>4</v>
      </c>
      <c r="O24" s="6" t="s">
        <v>135</v>
      </c>
      <c r="P24" s="180">
        <f aca="true" t="shared" si="2" ref="P24:Q27">E24</f>
        <v>44363</v>
      </c>
      <c r="Q24" s="181">
        <f t="shared" si="2"/>
        <v>0.625</v>
      </c>
      <c r="S24" s="5" t="s">
        <v>239</v>
      </c>
      <c r="T24" s="5" t="s">
        <v>157</v>
      </c>
      <c r="U24" s="5" t="s">
        <v>239</v>
      </c>
      <c r="V24" s="5"/>
      <c r="W24" s="5" t="s">
        <v>157</v>
      </c>
      <c r="AE24" s="6">
        <v>6</v>
      </c>
      <c r="AH24" s="6" t="s">
        <v>115</v>
      </c>
    </row>
    <row r="25" spans="2:34" ht="11.25">
      <c r="B25" s="200">
        <v>10</v>
      </c>
      <c r="C25" s="118"/>
      <c r="D25" s="148" t="s">
        <v>176</v>
      </c>
      <c r="E25" s="170">
        <v>44364</v>
      </c>
      <c r="F25" s="171">
        <v>0.875</v>
      </c>
      <c r="G25" s="119" t="s">
        <v>139</v>
      </c>
      <c r="H25" s="120" t="s">
        <v>4</v>
      </c>
      <c r="I25" s="118" t="s">
        <v>122</v>
      </c>
      <c r="J25" s="27"/>
      <c r="K25" s="28"/>
      <c r="M25" s="6" t="s">
        <v>154</v>
      </c>
      <c r="N25" s="6" t="s">
        <v>4</v>
      </c>
      <c r="O25" s="6" t="s">
        <v>136</v>
      </c>
      <c r="P25" s="180">
        <f t="shared" si="2"/>
        <v>44364</v>
      </c>
      <c r="Q25" s="181">
        <f t="shared" si="2"/>
        <v>0.875</v>
      </c>
      <c r="S25" s="5" t="s">
        <v>143</v>
      </c>
      <c r="T25" s="5" t="s">
        <v>126</v>
      </c>
      <c r="U25" s="5" t="s">
        <v>143</v>
      </c>
      <c r="V25" s="5"/>
      <c r="W25" s="5" t="s">
        <v>126</v>
      </c>
      <c r="AE25" s="6">
        <v>8</v>
      </c>
      <c r="AH25" s="6" t="s">
        <v>115</v>
      </c>
    </row>
    <row r="26" spans="2:34" ht="11.25">
      <c r="B26" s="200">
        <v>21</v>
      </c>
      <c r="C26" s="118"/>
      <c r="D26" s="148" t="s">
        <v>177</v>
      </c>
      <c r="E26" s="170">
        <v>44367</v>
      </c>
      <c r="F26" s="171">
        <v>0.875</v>
      </c>
      <c r="G26" s="119" t="str">
        <f>I24</f>
        <v>Netherlands</v>
      </c>
      <c r="H26" s="120" t="s">
        <v>4</v>
      </c>
      <c r="I26" s="118" t="str">
        <f>I25</f>
        <v>France</v>
      </c>
      <c r="J26" s="27"/>
      <c r="K26" s="28"/>
      <c r="M26" s="6" t="s">
        <v>135</v>
      </c>
      <c r="N26" s="6" t="s">
        <v>4</v>
      </c>
      <c r="O26" s="6" t="s">
        <v>136</v>
      </c>
      <c r="P26" s="180">
        <f t="shared" si="2"/>
        <v>44367</v>
      </c>
      <c r="Q26" s="181">
        <f t="shared" si="2"/>
        <v>0.875</v>
      </c>
      <c r="S26" s="5" t="s">
        <v>157</v>
      </c>
      <c r="T26" s="5" t="s">
        <v>126</v>
      </c>
      <c r="U26" s="5" t="str">
        <f>W24</f>
        <v>NDL</v>
      </c>
      <c r="V26" s="5"/>
      <c r="W26" s="5" t="str">
        <f>W25</f>
        <v>FRA</v>
      </c>
      <c r="AE26" s="6">
        <v>18</v>
      </c>
      <c r="AH26" s="6" t="s">
        <v>115</v>
      </c>
    </row>
    <row r="27" spans="2:34" ht="11.25">
      <c r="B27" s="200">
        <v>20</v>
      </c>
      <c r="C27" s="118"/>
      <c r="D27" s="148" t="s">
        <v>172</v>
      </c>
      <c r="E27" s="170">
        <f>E26</f>
        <v>44367</v>
      </c>
      <c r="F27" s="171">
        <v>0.75</v>
      </c>
      <c r="G27" s="119" t="str">
        <f>G24</f>
        <v>Poland</v>
      </c>
      <c r="H27" s="120" t="s">
        <v>4</v>
      </c>
      <c r="I27" s="118" t="str">
        <f>G25</f>
        <v>Austria</v>
      </c>
      <c r="J27" s="27"/>
      <c r="K27" s="28"/>
      <c r="M27" s="6" t="s">
        <v>5</v>
      </c>
      <c r="N27" s="6" t="s">
        <v>4</v>
      </c>
      <c r="O27" s="6" t="s">
        <v>154</v>
      </c>
      <c r="P27" s="180">
        <f t="shared" si="2"/>
        <v>44367</v>
      </c>
      <c r="Q27" s="181">
        <f t="shared" si="2"/>
        <v>0.75</v>
      </c>
      <c r="S27" s="5" t="s">
        <v>239</v>
      </c>
      <c r="T27" s="5" t="s">
        <v>143</v>
      </c>
      <c r="U27" s="5" t="str">
        <f>U24</f>
        <v>POA</v>
      </c>
      <c r="V27" s="5"/>
      <c r="W27" s="5" t="str">
        <f>U25</f>
        <v>AUT</v>
      </c>
      <c r="AE27" s="6">
        <v>20</v>
      </c>
      <c r="AH27" s="6" t="s">
        <v>115</v>
      </c>
    </row>
    <row r="28" spans="2:34" ht="11.25">
      <c r="B28" s="200">
        <v>29</v>
      </c>
      <c r="C28" s="118"/>
      <c r="D28" s="148" t="s">
        <v>173</v>
      </c>
      <c r="E28" s="170">
        <v>44372</v>
      </c>
      <c r="F28" s="171">
        <v>0.75</v>
      </c>
      <c r="G28" s="119" t="str">
        <f>I25</f>
        <v>France</v>
      </c>
      <c r="H28" s="120" t="s">
        <v>4</v>
      </c>
      <c r="I28" s="118" t="str">
        <f>G24</f>
        <v>Poland</v>
      </c>
      <c r="J28" s="27"/>
      <c r="K28" s="28"/>
      <c r="M28" s="6" t="s">
        <v>136</v>
      </c>
      <c r="N28" s="6" t="s">
        <v>4</v>
      </c>
      <c r="O28" s="6" t="s">
        <v>5</v>
      </c>
      <c r="P28" s="180">
        <f>E29</f>
        <v>44372</v>
      </c>
      <c r="Q28" s="181">
        <f>F29</f>
        <v>0.75</v>
      </c>
      <c r="S28" s="5" t="s">
        <v>126</v>
      </c>
      <c r="T28" s="5" t="s">
        <v>239</v>
      </c>
      <c r="U28" s="5" t="str">
        <f>W25</f>
        <v>FRA</v>
      </c>
      <c r="V28" s="5"/>
      <c r="W28" s="5" t="str">
        <f>U24</f>
        <v>POA</v>
      </c>
      <c r="AE28" s="6">
        <v>29</v>
      </c>
      <c r="AH28" s="6" t="s">
        <v>113</v>
      </c>
    </row>
    <row r="29" spans="2:34" ht="12" thickBot="1">
      <c r="B29" s="201">
        <v>30</v>
      </c>
      <c r="C29" s="122"/>
      <c r="D29" s="149" t="s">
        <v>172</v>
      </c>
      <c r="E29" s="172">
        <f>E28</f>
        <v>44372</v>
      </c>
      <c r="F29" s="173">
        <f>F28</f>
        <v>0.75</v>
      </c>
      <c r="G29" s="123" t="str">
        <f>I24</f>
        <v>Netherlands</v>
      </c>
      <c r="H29" s="124" t="s">
        <v>4</v>
      </c>
      <c r="I29" s="122" t="str">
        <f>G25</f>
        <v>Austria</v>
      </c>
      <c r="J29" s="29"/>
      <c r="K29" s="30"/>
      <c r="M29" s="6" t="s">
        <v>135</v>
      </c>
      <c r="N29" s="6" t="s">
        <v>4</v>
      </c>
      <c r="O29" s="6" t="s">
        <v>154</v>
      </c>
      <c r="P29" s="180">
        <f>E28</f>
        <v>44372</v>
      </c>
      <c r="Q29" s="181">
        <f>F28</f>
        <v>0.75</v>
      </c>
      <c r="S29" s="5" t="s">
        <v>157</v>
      </c>
      <c r="T29" s="5" t="s">
        <v>143</v>
      </c>
      <c r="U29" s="5" t="str">
        <f>W24</f>
        <v>NDL</v>
      </c>
      <c r="V29" s="5"/>
      <c r="W29" s="5" t="str">
        <f>U25</f>
        <v>AUT</v>
      </c>
      <c r="AE29" s="6">
        <v>30</v>
      </c>
      <c r="AH29" s="6" t="s">
        <v>115</v>
      </c>
    </row>
    <row r="30" spans="2:23" ht="12.75" thickBot="1" thickTop="1">
      <c r="B30" s="202"/>
      <c r="C30" s="18"/>
      <c r="D30" s="174"/>
      <c r="E30" s="175"/>
      <c r="F30" s="176"/>
      <c r="G30" s="18"/>
      <c r="H30" s="18"/>
      <c r="I30" s="18"/>
      <c r="J30" s="18"/>
      <c r="K30" s="21"/>
      <c r="S30" s="5"/>
      <c r="T30" s="5"/>
      <c r="U30" s="5"/>
      <c r="V30" s="5"/>
      <c r="W30" s="5"/>
    </row>
    <row r="31" spans="2:34" ht="12" thickTop="1">
      <c r="B31" s="199">
        <v>8</v>
      </c>
      <c r="C31" s="114"/>
      <c r="D31" s="167" t="s">
        <v>155</v>
      </c>
      <c r="E31" s="168">
        <v>45460</v>
      </c>
      <c r="F31" s="169">
        <v>0.625</v>
      </c>
      <c r="G31" s="115" t="s">
        <v>230</v>
      </c>
      <c r="H31" s="116" t="s">
        <v>4</v>
      </c>
      <c r="I31" s="114" t="str">
        <f>IF(PlayOffs!O19="","PlayOff Winner B",PlayOffs!O19)</f>
        <v>Ukraine</v>
      </c>
      <c r="J31" s="100"/>
      <c r="K31" s="101"/>
      <c r="M31" s="6" t="s">
        <v>130</v>
      </c>
      <c r="N31" s="6" t="s">
        <v>4</v>
      </c>
      <c r="O31" s="6" t="s">
        <v>133</v>
      </c>
      <c r="P31" s="180">
        <f>E31</f>
        <v>45460</v>
      </c>
      <c r="Q31" s="181">
        <f>F31</f>
        <v>0.625</v>
      </c>
      <c r="S31" s="5" t="s">
        <v>240</v>
      </c>
      <c r="T31" s="5" t="s">
        <v>241</v>
      </c>
      <c r="U31" s="5" t="s">
        <v>240</v>
      </c>
      <c r="V31" s="5"/>
      <c r="W31" s="5" t="s">
        <v>241</v>
      </c>
      <c r="AE31" s="6">
        <v>9</v>
      </c>
      <c r="AH31" s="6" t="s">
        <v>116</v>
      </c>
    </row>
    <row r="32" spans="2:34" ht="11.25">
      <c r="B32" s="200">
        <v>9</v>
      </c>
      <c r="C32" s="118"/>
      <c r="D32" s="148" t="s">
        <v>229</v>
      </c>
      <c r="E32" s="170">
        <f>E31</f>
        <v>45460</v>
      </c>
      <c r="F32" s="171">
        <v>0.75</v>
      </c>
      <c r="G32" s="119" t="s">
        <v>137</v>
      </c>
      <c r="H32" s="120" t="s">
        <v>4</v>
      </c>
      <c r="I32" s="118" t="s">
        <v>133</v>
      </c>
      <c r="J32" s="27"/>
      <c r="K32" s="28"/>
      <c r="M32" s="6" t="s">
        <v>123</v>
      </c>
      <c r="N32" s="6" t="s">
        <v>4</v>
      </c>
      <c r="O32" s="6" t="s">
        <v>120</v>
      </c>
      <c r="P32" s="180">
        <f>E32</f>
        <v>45460</v>
      </c>
      <c r="Q32" s="181">
        <f>F32</f>
        <v>0.75</v>
      </c>
      <c r="S32" s="5" t="s">
        <v>142</v>
      </c>
      <c r="T32" s="5" t="s">
        <v>159</v>
      </c>
      <c r="U32" s="5" t="s">
        <v>142</v>
      </c>
      <c r="V32" s="5"/>
      <c r="W32" s="5" t="s">
        <v>159</v>
      </c>
      <c r="AE32" s="6">
        <v>11</v>
      </c>
      <c r="AH32" s="6" t="s">
        <v>116</v>
      </c>
    </row>
    <row r="33" spans="2:34" ht="11.25">
      <c r="B33" s="200">
        <v>19</v>
      </c>
      <c r="C33" s="118"/>
      <c r="D33" s="148" t="s">
        <v>176</v>
      </c>
      <c r="E33" s="170">
        <v>45464</v>
      </c>
      <c r="F33" s="171">
        <v>0.625</v>
      </c>
      <c r="G33" s="119" t="str">
        <f>I32</f>
        <v>Slovakia</v>
      </c>
      <c r="H33" s="120" t="s">
        <v>4</v>
      </c>
      <c r="I33" s="118" t="str">
        <f>I31</f>
        <v>Ukraine</v>
      </c>
      <c r="J33" s="27"/>
      <c r="K33" s="28"/>
      <c r="M33" s="6" t="s">
        <v>120</v>
      </c>
      <c r="N33" s="6" t="s">
        <v>4</v>
      </c>
      <c r="O33" s="6" t="s">
        <v>133</v>
      </c>
      <c r="P33" s="180">
        <f>E34</f>
        <v>45465</v>
      </c>
      <c r="Q33" s="181">
        <f>F34</f>
        <v>0.875</v>
      </c>
      <c r="S33" s="5" t="s">
        <v>159</v>
      </c>
      <c r="T33" s="5" t="s">
        <v>241</v>
      </c>
      <c r="U33" s="5" t="str">
        <f>W32</f>
        <v>SLK</v>
      </c>
      <c r="V33" s="5"/>
      <c r="W33" s="5" t="str">
        <f>W31</f>
        <v>POB</v>
      </c>
      <c r="AE33" s="6">
        <v>21</v>
      </c>
      <c r="AH33" s="6" t="s">
        <v>116</v>
      </c>
    </row>
    <row r="34" spans="2:34" ht="11.25">
      <c r="B34" s="200">
        <v>24</v>
      </c>
      <c r="C34" s="118"/>
      <c r="D34" s="148" t="s">
        <v>169</v>
      </c>
      <c r="E34" s="170">
        <v>45465</v>
      </c>
      <c r="F34" s="171">
        <v>0.875</v>
      </c>
      <c r="G34" s="119" t="str">
        <f>G32</f>
        <v>Belgium</v>
      </c>
      <c r="H34" s="120" t="s">
        <v>4</v>
      </c>
      <c r="I34" s="118" t="str">
        <f>G31</f>
        <v>Romania</v>
      </c>
      <c r="J34" s="27"/>
      <c r="K34" s="28"/>
      <c r="M34" s="6" t="s">
        <v>123</v>
      </c>
      <c r="N34" s="6" t="s">
        <v>4</v>
      </c>
      <c r="O34" s="6" t="s">
        <v>130</v>
      </c>
      <c r="P34" s="180">
        <f>E33</f>
        <v>45464</v>
      </c>
      <c r="Q34" s="181">
        <f>F33</f>
        <v>0.625</v>
      </c>
      <c r="S34" s="5" t="s">
        <v>142</v>
      </c>
      <c r="T34" s="5" t="s">
        <v>240</v>
      </c>
      <c r="U34" s="5" t="str">
        <f>U32</f>
        <v>BEL</v>
      </c>
      <c r="V34" s="5"/>
      <c r="W34" s="5" t="str">
        <f>U31</f>
        <v>ROM</v>
      </c>
      <c r="AE34" s="6">
        <v>23</v>
      </c>
      <c r="AH34" s="6" t="s">
        <v>116</v>
      </c>
    </row>
    <row r="35" spans="2:34" ht="11.25">
      <c r="B35" s="200">
        <v>34</v>
      </c>
      <c r="C35" s="118"/>
      <c r="D35" s="148" t="s">
        <v>229</v>
      </c>
      <c r="E35" s="170">
        <v>45469</v>
      </c>
      <c r="F35" s="171">
        <v>0.75</v>
      </c>
      <c r="G35" s="119" t="str">
        <f>I32</f>
        <v>Slovakia</v>
      </c>
      <c r="H35" s="120" t="s">
        <v>4</v>
      </c>
      <c r="I35" s="118" t="str">
        <f>G31</f>
        <v>Romania</v>
      </c>
      <c r="J35" s="27"/>
      <c r="K35" s="28"/>
      <c r="M35" s="6" t="s">
        <v>120</v>
      </c>
      <c r="N35" s="6" t="s">
        <v>4</v>
      </c>
      <c r="O35" s="6" t="s">
        <v>130</v>
      </c>
      <c r="P35" s="180">
        <f>E36</f>
        <v>45469</v>
      </c>
      <c r="Q35" s="181">
        <f>F36</f>
        <v>0.75</v>
      </c>
      <c r="S35" s="5" t="s">
        <v>159</v>
      </c>
      <c r="T35" s="5" t="s">
        <v>240</v>
      </c>
      <c r="U35" s="5" t="str">
        <f>W32</f>
        <v>SLK</v>
      </c>
      <c r="V35" s="5"/>
      <c r="W35" s="5" t="str">
        <f>U31</f>
        <v>ROM</v>
      </c>
      <c r="AE35" s="6">
        <v>35</v>
      </c>
      <c r="AH35" s="6" t="s">
        <v>116</v>
      </c>
    </row>
    <row r="36" spans="2:34" ht="12" thickBot="1">
      <c r="B36" s="201">
        <v>33</v>
      </c>
      <c r="C36" s="122"/>
      <c r="D36" s="149" t="s">
        <v>170</v>
      </c>
      <c r="E36" s="172">
        <f>E35</f>
        <v>45469</v>
      </c>
      <c r="F36" s="173">
        <f>F35</f>
        <v>0.75</v>
      </c>
      <c r="G36" s="123" t="str">
        <f>I31</f>
        <v>Ukraine</v>
      </c>
      <c r="H36" s="124" t="s">
        <v>4</v>
      </c>
      <c r="I36" s="122" t="str">
        <f>G32</f>
        <v>Belgium</v>
      </c>
      <c r="J36" s="29"/>
      <c r="K36" s="30"/>
      <c r="M36" s="6" t="s">
        <v>133</v>
      </c>
      <c r="N36" s="6" t="s">
        <v>4</v>
      </c>
      <c r="O36" s="6" t="s">
        <v>123</v>
      </c>
      <c r="P36" s="180">
        <f>E35</f>
        <v>45469</v>
      </c>
      <c r="Q36" s="181">
        <f>F35</f>
        <v>0.75</v>
      </c>
      <c r="S36" s="5" t="s">
        <v>241</v>
      </c>
      <c r="T36" s="5" t="s">
        <v>142</v>
      </c>
      <c r="U36" s="5" t="str">
        <f>W31</f>
        <v>POB</v>
      </c>
      <c r="V36" s="5"/>
      <c r="W36" s="5" t="str">
        <f>U32</f>
        <v>BEL</v>
      </c>
      <c r="AE36" s="6">
        <v>36</v>
      </c>
      <c r="AH36" s="6" t="s">
        <v>117</v>
      </c>
    </row>
    <row r="37" spans="2:23" ht="12.75" thickBot="1" thickTop="1">
      <c r="B37" s="202"/>
      <c r="C37" s="18"/>
      <c r="D37" s="174"/>
      <c r="E37" s="175"/>
      <c r="F37" s="176"/>
      <c r="G37" s="18"/>
      <c r="H37" s="18"/>
      <c r="I37" s="18"/>
      <c r="J37" s="18"/>
      <c r="K37" s="21"/>
      <c r="O37" s="23"/>
      <c r="S37" s="5"/>
      <c r="T37" s="5"/>
      <c r="U37" s="5"/>
      <c r="V37" s="5"/>
      <c r="W37" s="5"/>
    </row>
    <row r="38" spans="2:34" ht="12" thickTop="1">
      <c r="B38" s="199">
        <v>11</v>
      </c>
      <c r="C38" s="114"/>
      <c r="D38" s="167" t="s">
        <v>173</v>
      </c>
      <c r="E38" s="168">
        <v>45461</v>
      </c>
      <c r="F38" s="169">
        <v>0.75</v>
      </c>
      <c r="G38" s="115" t="s">
        <v>231</v>
      </c>
      <c r="H38" s="116" t="s">
        <v>4</v>
      </c>
      <c r="I38" s="114" t="str">
        <f>IF(PlayOffs!O27="","PlayOff Winner C",PlayOffs!O27)</f>
        <v>Georgia</v>
      </c>
      <c r="J38" s="100"/>
      <c r="K38" s="101"/>
      <c r="M38" s="6" t="s">
        <v>140</v>
      </c>
      <c r="N38" s="6" t="s">
        <v>4</v>
      </c>
      <c r="O38" s="6" t="s">
        <v>141</v>
      </c>
      <c r="P38" s="180">
        <f>E38</f>
        <v>45461</v>
      </c>
      <c r="Q38" s="181">
        <f>F38</f>
        <v>0.75</v>
      </c>
      <c r="S38" s="22" t="s">
        <v>242</v>
      </c>
      <c r="T38" s="22" t="s">
        <v>243</v>
      </c>
      <c r="U38" s="5" t="s">
        <v>242</v>
      </c>
      <c r="V38" s="5"/>
      <c r="W38" s="5" t="s">
        <v>243</v>
      </c>
      <c r="Y38" s="23"/>
      <c r="AE38" s="6">
        <v>10</v>
      </c>
      <c r="AH38" s="6" t="s">
        <v>117</v>
      </c>
    </row>
    <row r="39" spans="2:34" ht="11.25">
      <c r="B39" s="200">
        <v>12</v>
      </c>
      <c r="C39" s="118"/>
      <c r="D39" s="148" t="s">
        <v>177</v>
      </c>
      <c r="E39" s="170">
        <f>E38</f>
        <v>45461</v>
      </c>
      <c r="F39" s="171">
        <v>0.875</v>
      </c>
      <c r="G39" s="119" t="s">
        <v>141</v>
      </c>
      <c r="H39" s="120" t="s">
        <v>4</v>
      </c>
      <c r="I39" s="118" t="s">
        <v>232</v>
      </c>
      <c r="J39" s="27"/>
      <c r="K39" s="28"/>
      <c r="M39" s="6" t="s">
        <v>122</v>
      </c>
      <c r="N39" s="6" t="s">
        <v>4</v>
      </c>
      <c r="O39" s="6" t="s">
        <v>119</v>
      </c>
      <c r="P39" s="180">
        <f>E39</f>
        <v>45461</v>
      </c>
      <c r="Q39" s="181">
        <f>F39</f>
        <v>0.875</v>
      </c>
      <c r="S39" s="22" t="s">
        <v>145</v>
      </c>
      <c r="T39" s="22" t="s">
        <v>244</v>
      </c>
      <c r="U39" s="5" t="s">
        <v>145</v>
      </c>
      <c r="V39" s="5"/>
      <c r="W39" s="5" t="s">
        <v>244</v>
      </c>
      <c r="Y39" s="23"/>
      <c r="AE39" s="6">
        <v>12</v>
      </c>
      <c r="AH39" s="6" t="s">
        <v>117</v>
      </c>
    </row>
    <row r="40" spans="2:34" ht="11.25">
      <c r="B40" s="200">
        <v>23</v>
      </c>
      <c r="C40" s="118"/>
      <c r="D40" s="148" t="s">
        <v>173</v>
      </c>
      <c r="E40" s="170">
        <v>45465</v>
      </c>
      <c r="F40" s="171">
        <v>0.9583333333333334</v>
      </c>
      <c r="G40" s="119" t="str">
        <f>G38</f>
        <v>Türkiye</v>
      </c>
      <c r="H40" s="120" t="s">
        <v>4</v>
      </c>
      <c r="I40" s="118" t="str">
        <f>G39</f>
        <v>Portugal</v>
      </c>
      <c r="J40" s="27"/>
      <c r="K40" s="28"/>
      <c r="M40" s="6" t="s">
        <v>140</v>
      </c>
      <c r="N40" s="6" t="s">
        <v>4</v>
      </c>
      <c r="O40" s="6" t="s">
        <v>122</v>
      </c>
      <c r="P40" s="180">
        <f>E41</f>
        <v>44367</v>
      </c>
      <c r="Q40" s="181">
        <f>F41</f>
        <v>0.08333333333333333</v>
      </c>
      <c r="S40" s="5" t="s">
        <v>242</v>
      </c>
      <c r="T40" s="5" t="s">
        <v>145</v>
      </c>
      <c r="U40" s="5" t="str">
        <f>U38</f>
        <v>TUR</v>
      </c>
      <c r="V40" s="5"/>
      <c r="W40" s="5" t="str">
        <f>U39</f>
        <v>POR</v>
      </c>
      <c r="AE40" s="23">
        <v>22</v>
      </c>
      <c r="AH40" s="23" t="s">
        <v>117</v>
      </c>
    </row>
    <row r="41" spans="2:34" ht="11.25">
      <c r="B41" s="200">
        <v>22</v>
      </c>
      <c r="C41" s="118"/>
      <c r="D41" s="148" t="s">
        <v>174</v>
      </c>
      <c r="E41" s="170">
        <v>44367</v>
      </c>
      <c r="F41" s="171">
        <v>0.08333333333333333</v>
      </c>
      <c r="G41" s="119" t="str">
        <f>I38</f>
        <v>Georgia</v>
      </c>
      <c r="H41" s="120" t="s">
        <v>4</v>
      </c>
      <c r="I41" s="118" t="str">
        <f>I39</f>
        <v>Czechia</v>
      </c>
      <c r="J41" s="27"/>
      <c r="K41" s="28"/>
      <c r="M41" s="6" t="s">
        <v>141</v>
      </c>
      <c r="N41" s="6" t="s">
        <v>4</v>
      </c>
      <c r="O41" s="6" t="s">
        <v>119</v>
      </c>
      <c r="P41" s="180">
        <f>E40</f>
        <v>45465</v>
      </c>
      <c r="Q41" s="181">
        <f>F40</f>
        <v>0.9583333333333334</v>
      </c>
      <c r="S41" s="5" t="s">
        <v>243</v>
      </c>
      <c r="T41" s="5" t="s">
        <v>244</v>
      </c>
      <c r="U41" s="5" t="str">
        <f>W38</f>
        <v>POC</v>
      </c>
      <c r="V41" s="5"/>
      <c r="W41" s="5" t="str">
        <f>W39</f>
        <v>CZH</v>
      </c>
      <c r="AE41" s="23">
        <v>24</v>
      </c>
      <c r="AH41" s="23" t="s">
        <v>117</v>
      </c>
    </row>
    <row r="42" spans="2:34" ht="11.25">
      <c r="B42" s="200">
        <v>35</v>
      </c>
      <c r="C42" s="118"/>
      <c r="D42" s="148" t="s">
        <v>174</v>
      </c>
      <c r="E42" s="170">
        <f>E35</f>
        <v>45469</v>
      </c>
      <c r="F42" s="171">
        <v>0.875</v>
      </c>
      <c r="G42" s="119" t="str">
        <f>I39</f>
        <v>Czechia</v>
      </c>
      <c r="H42" s="120" t="s">
        <v>4</v>
      </c>
      <c r="I42" s="118" t="str">
        <f>G38</f>
        <v>Türkiye</v>
      </c>
      <c r="J42" s="27"/>
      <c r="K42" s="28"/>
      <c r="M42" s="6" t="s">
        <v>119</v>
      </c>
      <c r="N42" s="6" t="s">
        <v>4</v>
      </c>
      <c r="O42" s="6" t="s">
        <v>140</v>
      </c>
      <c r="P42" s="180">
        <f>E42</f>
        <v>45469</v>
      </c>
      <c r="Q42" s="181">
        <f>F42</f>
        <v>0.875</v>
      </c>
      <c r="S42" s="5" t="s">
        <v>244</v>
      </c>
      <c r="T42" s="5" t="s">
        <v>242</v>
      </c>
      <c r="U42" s="5" t="str">
        <f>W39</f>
        <v>CZH</v>
      </c>
      <c r="V42" s="5"/>
      <c r="W42" s="5" t="str">
        <f>U38</f>
        <v>TUR</v>
      </c>
      <c r="AE42" s="23">
        <v>33</v>
      </c>
      <c r="AH42" s="23" t="s">
        <v>116</v>
      </c>
    </row>
    <row r="43" spans="2:34" ht="12" thickBot="1">
      <c r="B43" s="201">
        <v>36</v>
      </c>
      <c r="C43" s="122"/>
      <c r="D43" s="149" t="s">
        <v>175</v>
      </c>
      <c r="E43" s="172">
        <f>E42</f>
        <v>45469</v>
      </c>
      <c r="F43" s="173">
        <f>F42</f>
        <v>0.875</v>
      </c>
      <c r="G43" s="123" t="str">
        <f>I38</f>
        <v>Georgia</v>
      </c>
      <c r="H43" s="124" t="s">
        <v>4</v>
      </c>
      <c r="I43" s="122" t="str">
        <f>G39</f>
        <v>Portugal</v>
      </c>
      <c r="J43" s="29"/>
      <c r="K43" s="30"/>
      <c r="M43" s="6" t="s">
        <v>141</v>
      </c>
      <c r="N43" s="6" t="s">
        <v>4</v>
      </c>
      <c r="O43" s="6" t="s">
        <v>122</v>
      </c>
      <c r="P43" s="180">
        <f>E43</f>
        <v>45469</v>
      </c>
      <c r="Q43" s="181">
        <f>F43</f>
        <v>0.875</v>
      </c>
      <c r="S43" s="5" t="s">
        <v>243</v>
      </c>
      <c r="T43" s="5" t="s">
        <v>145</v>
      </c>
      <c r="U43" s="5" t="str">
        <f>W38</f>
        <v>POC</v>
      </c>
      <c r="V43" s="5"/>
      <c r="W43" s="5" t="str">
        <f>U39</f>
        <v>POR</v>
      </c>
      <c r="AE43" s="23">
        <v>34</v>
      </c>
      <c r="AH43" s="23" t="s">
        <v>117</v>
      </c>
    </row>
    <row r="44" spans="2:34" ht="12.75" thickBot="1" thickTop="1">
      <c r="B44" s="17" t="s">
        <v>278</v>
      </c>
      <c r="C44" s="18"/>
      <c r="D44" s="18"/>
      <c r="E44" s="19"/>
      <c r="F44" s="20"/>
      <c r="G44" s="18"/>
      <c r="H44" s="18"/>
      <c r="I44" s="18"/>
      <c r="J44" s="18"/>
      <c r="K44" s="21"/>
      <c r="M44" s="23"/>
      <c r="N44" s="23"/>
      <c r="O44" s="23"/>
      <c r="P44" s="23"/>
      <c r="Q44" s="23"/>
      <c r="AE44" s="23"/>
      <c r="AH44" s="23"/>
    </row>
    <row r="45" spans="2:12" s="23" customFormat="1" ht="12" thickTop="1">
      <c r="B45" s="22"/>
      <c r="E45" s="24"/>
      <c r="F45" s="25"/>
      <c r="G45" s="26"/>
      <c r="H45" s="22"/>
      <c r="J45" s="22"/>
      <c r="K45" s="22"/>
      <c r="L45" s="6"/>
    </row>
    <row r="46" spans="2:12" s="23" customFormat="1" ht="11.25">
      <c r="B46" s="22"/>
      <c r="E46" s="24"/>
      <c r="F46" s="25"/>
      <c r="G46" s="26"/>
      <c r="H46" s="22"/>
      <c r="J46" s="22"/>
      <c r="K46" s="22"/>
      <c r="L46" s="6"/>
    </row>
    <row r="47" spans="2:11" s="23" customFormat="1" ht="11.25">
      <c r="B47" s="22"/>
      <c r="E47" s="24"/>
      <c r="F47" s="25"/>
      <c r="G47" s="26"/>
      <c r="H47" s="22"/>
      <c r="J47" s="22"/>
      <c r="K47" s="22"/>
    </row>
    <row r="48" spans="2:11" s="23" customFormat="1" ht="11.25">
      <c r="B48" s="22"/>
      <c r="E48" s="24"/>
      <c r="F48" s="25"/>
      <c r="G48" s="26"/>
      <c r="H48" s="22"/>
      <c r="J48" s="22"/>
      <c r="K48" s="22"/>
    </row>
    <row r="49" spans="2:11" s="23" customFormat="1" ht="11.25">
      <c r="B49" s="22"/>
      <c r="E49" s="24"/>
      <c r="F49" s="25"/>
      <c r="G49" s="26"/>
      <c r="H49" s="22"/>
      <c r="J49" s="22"/>
      <c r="K49" s="22"/>
    </row>
    <row r="50" spans="2:11" s="23" customFormat="1" ht="11.25">
      <c r="B50" s="22"/>
      <c r="E50" s="24"/>
      <c r="F50" s="25"/>
      <c r="G50" s="26"/>
      <c r="H50" s="22"/>
      <c r="J50" s="22"/>
      <c r="K50" s="22"/>
    </row>
    <row r="51" spans="2:11" s="23" customFormat="1" ht="11.25">
      <c r="B51" s="22"/>
      <c r="E51" s="24"/>
      <c r="F51" s="25"/>
      <c r="G51" s="26"/>
      <c r="H51" s="22"/>
      <c r="J51" s="22"/>
      <c r="K51" s="22"/>
    </row>
    <row r="52" spans="2:11" s="23" customFormat="1" ht="11.25">
      <c r="B52" s="22"/>
      <c r="E52" s="24"/>
      <c r="F52" s="25"/>
      <c r="G52" s="26"/>
      <c r="H52" s="22"/>
      <c r="J52" s="22"/>
      <c r="K52" s="22"/>
    </row>
    <row r="53" spans="2:11" s="23" customFormat="1" ht="11.25">
      <c r="B53" s="22"/>
      <c r="E53" s="24"/>
      <c r="F53" s="25"/>
      <c r="G53" s="26"/>
      <c r="H53" s="22"/>
      <c r="J53" s="22"/>
      <c r="K53" s="22"/>
    </row>
    <row r="54" spans="2:15" s="23" customFormat="1" ht="11.25">
      <c r="B54" s="22"/>
      <c r="E54" s="24"/>
      <c r="F54" s="25"/>
      <c r="G54" s="26"/>
      <c r="H54" s="22"/>
      <c r="J54" s="22"/>
      <c r="K54" s="22"/>
      <c r="M54" s="6"/>
      <c r="N54" s="6"/>
      <c r="O54" s="6"/>
    </row>
    <row r="55" spans="2:15" s="23" customFormat="1" ht="11.25">
      <c r="B55" s="22"/>
      <c r="E55" s="24"/>
      <c r="F55" s="25"/>
      <c r="G55" s="26"/>
      <c r="H55" s="22"/>
      <c r="J55" s="22"/>
      <c r="K55" s="22"/>
      <c r="M55" s="6"/>
      <c r="N55" s="6"/>
      <c r="O55" s="6"/>
    </row>
    <row r="56" spans="2:15" s="23" customFormat="1" ht="11.25">
      <c r="B56" s="22"/>
      <c r="E56" s="24"/>
      <c r="F56" s="25"/>
      <c r="G56" s="26"/>
      <c r="H56" s="22"/>
      <c r="J56" s="22"/>
      <c r="K56" s="22"/>
      <c r="M56" s="6"/>
      <c r="N56" s="6"/>
      <c r="O56" s="6"/>
    </row>
    <row r="57" spans="2:15" s="23" customFormat="1" ht="11.25">
      <c r="B57" s="22"/>
      <c r="E57" s="24"/>
      <c r="F57" s="25"/>
      <c r="G57" s="26"/>
      <c r="H57" s="22"/>
      <c r="J57" s="22"/>
      <c r="K57" s="22"/>
      <c r="M57" s="6"/>
      <c r="N57" s="6"/>
      <c r="O57" s="6"/>
    </row>
    <row r="58" spans="2:34" s="23" customFormat="1" ht="11.25">
      <c r="B58" s="22"/>
      <c r="E58" s="24"/>
      <c r="F58" s="25"/>
      <c r="G58" s="26"/>
      <c r="H58" s="22"/>
      <c r="J58" s="22"/>
      <c r="K58" s="22"/>
      <c r="M58" s="6"/>
      <c r="N58" s="6"/>
      <c r="O58" s="6"/>
      <c r="P58" s="6"/>
      <c r="Q58" s="6"/>
      <c r="AE58" s="6"/>
      <c r="AH58" s="6"/>
    </row>
    <row r="59" spans="2:34" s="23" customFormat="1" ht="11.25">
      <c r="B59" s="22"/>
      <c r="E59" s="24"/>
      <c r="F59" s="25"/>
      <c r="G59" s="26"/>
      <c r="H59" s="22"/>
      <c r="J59" s="22"/>
      <c r="K59" s="22"/>
      <c r="M59" s="6"/>
      <c r="N59" s="6"/>
      <c r="O59" s="6"/>
      <c r="P59" s="6"/>
      <c r="Q59" s="6"/>
      <c r="AE59" s="6"/>
      <c r="AH59" s="6"/>
    </row>
    <row r="60" spans="2:34" s="23" customFormat="1" ht="11.25">
      <c r="B60" s="22"/>
      <c r="E60" s="24"/>
      <c r="F60" s="25"/>
      <c r="G60" s="26"/>
      <c r="H60" s="22"/>
      <c r="J60" s="22"/>
      <c r="K60" s="22"/>
      <c r="M60" s="6"/>
      <c r="N60" s="6"/>
      <c r="O60" s="6"/>
      <c r="P60" s="6"/>
      <c r="Q60" s="6"/>
      <c r="AE60" s="6"/>
      <c r="AH60" s="6"/>
    </row>
    <row r="61" spans="2:34" s="23" customFormat="1" ht="11.25">
      <c r="B61" s="22"/>
      <c r="E61" s="24"/>
      <c r="F61" s="25"/>
      <c r="G61" s="26"/>
      <c r="H61" s="22"/>
      <c r="J61" s="22"/>
      <c r="K61" s="22"/>
      <c r="M61" s="6"/>
      <c r="N61" s="6"/>
      <c r="O61" s="6"/>
      <c r="P61" s="6"/>
      <c r="Q61" s="6"/>
      <c r="AE61" s="6"/>
      <c r="AH61" s="6"/>
    </row>
    <row r="62" spans="2:34" s="23" customFormat="1" ht="11.25">
      <c r="B62" s="22"/>
      <c r="E62" s="24"/>
      <c r="F62" s="25"/>
      <c r="G62" s="26"/>
      <c r="H62" s="22"/>
      <c r="J62" s="22"/>
      <c r="K62" s="22"/>
      <c r="M62" s="6"/>
      <c r="N62" s="6"/>
      <c r="O62" s="6"/>
      <c r="P62" s="6"/>
      <c r="Q62" s="6"/>
      <c r="AE62" s="6"/>
      <c r="AH62" s="6"/>
    </row>
  </sheetData>
  <sheetProtection password="D825" sheet="1" objects="1" scenarios="1"/>
  <printOptions horizontalCentered="1"/>
  <pageMargins left="0.7480314960629921" right="0.7480314960629921" top="1.299212598425197" bottom="0.984251968503937" header="0.5118110236220472" footer="0.5118110236220472"/>
  <pageSetup horizontalDpi="600" verticalDpi="600" orientation="portrait" paperSize="9" r:id="rId3"/>
  <headerFooter alignWithMargins="0">
    <oddHeader>&amp;L&amp;8(c) McRopod Concepts 2024&amp;CEuro 2024 - Germany&amp;R&amp;8www.mcropod.com.au</oddHeader>
    <oddFooter>&amp;L&amp;8www.mcropod.com.au&amp;C&amp;A&amp;R&amp;8&amp;F  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1:O2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3" max="3" width="22.7109375" style="0" customWidth="1"/>
    <col min="4" max="5" width="5.7109375" style="0" customWidth="1"/>
    <col min="6" max="7" width="3.7109375" style="0" customWidth="1"/>
    <col min="9" max="9" width="22.7109375" style="0" customWidth="1"/>
    <col min="10" max="11" width="5.7109375" style="0" customWidth="1"/>
    <col min="13" max="13" width="17.421875" style="0" customWidth="1"/>
    <col min="15" max="15" width="0" style="0" hidden="1" customWidth="1"/>
  </cols>
  <sheetData>
    <row r="1" spans="2:11" ht="12.75">
      <c r="B1" s="5"/>
      <c r="C1" s="6"/>
      <c r="D1" s="6"/>
      <c r="E1" s="7"/>
      <c r="F1" s="8"/>
      <c r="G1" s="9"/>
      <c r="H1" s="5"/>
      <c r="I1" s="6"/>
      <c r="J1" s="5"/>
      <c r="K1" s="5"/>
    </row>
    <row r="2" spans="2:11" ht="12.75">
      <c r="B2" s="5"/>
      <c r="C2" s="6"/>
      <c r="D2" s="6"/>
      <c r="E2" s="7"/>
      <c r="F2" s="8"/>
      <c r="G2" s="9"/>
      <c r="H2" s="5"/>
      <c r="I2" s="6"/>
      <c r="J2" s="5"/>
      <c r="K2" s="5"/>
    </row>
    <row r="3" ht="20.25">
      <c r="C3" s="224"/>
    </row>
    <row r="4" ht="20.25">
      <c r="C4" s="224" t="s">
        <v>281</v>
      </c>
    </row>
    <row r="5" ht="13.5" thickBot="1"/>
    <row r="6" spans="2:11" ht="16.5" thickBot="1" thickTop="1">
      <c r="B6" s="203"/>
      <c r="C6" s="233" t="s">
        <v>132</v>
      </c>
      <c r="D6" s="229">
        <v>4</v>
      </c>
      <c r="E6" s="230"/>
      <c r="F6" s="204"/>
      <c r="G6" s="205"/>
      <c r="H6" s="220"/>
      <c r="I6" s="221"/>
      <c r="J6" s="205"/>
      <c r="K6" s="205"/>
    </row>
    <row r="7" spans="2:11" ht="14.25" thickBot="1" thickTop="1">
      <c r="B7" s="225" t="s">
        <v>272</v>
      </c>
      <c r="C7" s="226"/>
      <c r="D7" s="48"/>
      <c r="E7" s="49">
        <f>IF(D8="","",IF(D6=D8,"(Pens)",""))</f>
      </c>
      <c r="F7" s="206"/>
      <c r="G7" s="207"/>
      <c r="H7" s="228" t="s">
        <v>282</v>
      </c>
      <c r="I7" s="228"/>
      <c r="J7" s="205"/>
      <c r="K7" s="205"/>
    </row>
    <row r="8" spans="2:11" ht="16.5" thickBot="1" thickTop="1">
      <c r="B8" s="210"/>
      <c r="C8" s="234" t="s">
        <v>150</v>
      </c>
      <c r="D8" s="231">
        <v>1</v>
      </c>
      <c r="E8" s="232"/>
      <c r="F8" s="204"/>
      <c r="G8" s="211"/>
      <c r="H8" s="203"/>
      <c r="I8" s="233" t="str">
        <f>IF(D6="","",IF(D8="","",IF(D6&gt;D8,C6,IF(D6&lt;D8,C8,IF(AND(D6=D8,E8=""),"",IF(AND(D6=D8,E6&gt;E8),C6,IF(AND(D6=D8,E6&lt;E8),C8,"There must be a winner!")))))))</f>
        <v>Wales</v>
      </c>
      <c r="J8" s="229">
        <v>0</v>
      </c>
      <c r="K8" s="230">
        <v>4</v>
      </c>
    </row>
    <row r="9" spans="2:11" ht="14.25" thickBot="1" thickTop="1">
      <c r="B9" s="205"/>
      <c r="C9" s="208"/>
      <c r="D9" s="209"/>
      <c r="E9" s="204"/>
      <c r="F9" s="205"/>
      <c r="G9" s="222"/>
      <c r="H9" s="225" t="s">
        <v>277</v>
      </c>
      <c r="I9" s="226"/>
      <c r="J9" s="48"/>
      <c r="K9" s="49" t="str">
        <f>IF(J10="","",IF(J8=J10,"(Pens)",""))</f>
        <v>(Pens)</v>
      </c>
    </row>
    <row r="10" spans="2:11" ht="16.5" thickBot="1" thickTop="1">
      <c r="B10" s="203"/>
      <c r="C10" s="233" t="s">
        <v>130</v>
      </c>
      <c r="D10" s="229">
        <v>5</v>
      </c>
      <c r="E10" s="230"/>
      <c r="F10" s="204"/>
      <c r="G10" s="214"/>
      <c r="H10" s="210"/>
      <c r="I10" s="234" t="str">
        <f>IF(D10="","",IF(D12="","",IF(D10&gt;D12,C10,IF(D10&lt;D12,C12,IF(AND(D10=D12,E12=""),"",IF(AND(D10=D12,E10&gt;E12),C10,IF(AND(D10=D12,E10&lt;E12),C12,"There must be a winner!")))))))</f>
        <v>Poland</v>
      </c>
      <c r="J10" s="231">
        <v>0</v>
      </c>
      <c r="K10" s="232">
        <v>5</v>
      </c>
    </row>
    <row r="11" spans="2:15" ht="14.25" thickBot="1" thickTop="1">
      <c r="B11" s="225" t="s">
        <v>273</v>
      </c>
      <c r="C11" s="226"/>
      <c r="D11" s="48"/>
      <c r="E11" s="49">
        <f>IF(D12="","",IF(D10=D12,"(Pens)",""))</f>
      </c>
      <c r="F11" s="215"/>
      <c r="G11" s="207"/>
      <c r="H11" s="205"/>
      <c r="I11" s="205"/>
      <c r="J11" s="205"/>
      <c r="K11" s="205"/>
      <c r="O11" s="137" t="str">
        <f>IF(J10="","",IF(J8&gt;J10,I8,IF(J8&lt;J10,I10,IF(AND(J8=J10,K10=""),"",IF(AND(J8=J10,K8&gt;K10),I8,IF(AND(J8=J10,K8&lt;K10),I10,"There must be a winner!"))))))</f>
        <v>Poland</v>
      </c>
    </row>
    <row r="12" spans="2:11" ht="16.5" thickBot="1" thickTop="1">
      <c r="B12" s="210"/>
      <c r="C12" s="234" t="s">
        <v>267</v>
      </c>
      <c r="D12" s="231">
        <v>1</v>
      </c>
      <c r="E12" s="232"/>
      <c r="F12" s="204"/>
      <c r="G12" s="205"/>
      <c r="H12" s="205"/>
      <c r="I12" s="223"/>
      <c r="J12" s="205"/>
      <c r="K12" s="205"/>
    </row>
    <row r="13" ht="14.25" thickBot="1" thickTop="1"/>
    <row r="14" spans="2:11" ht="16.5" thickBot="1" thickTop="1">
      <c r="B14" s="203"/>
      <c r="C14" s="233" t="s">
        <v>274</v>
      </c>
      <c r="D14" s="229">
        <v>1</v>
      </c>
      <c r="E14" s="230"/>
      <c r="F14" s="204"/>
      <c r="G14" s="205"/>
      <c r="H14" s="205"/>
      <c r="I14" s="205"/>
      <c r="J14" s="205"/>
      <c r="K14" s="205"/>
    </row>
    <row r="15" spans="2:11" ht="14.25" thickBot="1" thickTop="1">
      <c r="B15" s="225" t="s">
        <v>275</v>
      </c>
      <c r="C15" s="226"/>
      <c r="D15" s="48"/>
      <c r="E15" s="49">
        <f>IF(D16="","",IF(D14=D16,"(Pens)",""))</f>
      </c>
      <c r="F15" s="206"/>
      <c r="G15" s="207"/>
      <c r="H15" s="228" t="s">
        <v>283</v>
      </c>
      <c r="I15" s="227"/>
      <c r="J15" s="209"/>
      <c r="K15" s="205"/>
    </row>
    <row r="16" spans="2:11" ht="16.5" thickBot="1" thickTop="1">
      <c r="B16" s="210"/>
      <c r="C16" s="234" t="s">
        <v>131</v>
      </c>
      <c r="D16" s="231">
        <v>2</v>
      </c>
      <c r="E16" s="232"/>
      <c r="F16" s="204"/>
      <c r="G16" s="211"/>
      <c r="H16" s="203"/>
      <c r="I16" s="233" t="str">
        <f>IF(D14="","",IF(D16="","",IF(D14&gt;D16,C14,IF(D14&lt;D16,C16,IF(AND(D14=D16,E16=""),"",IF(AND(D14=D16,E14&gt;E16),C14,IF(AND(D14=D16,E14&lt;E16),C16,"There must be a winner!")))))))</f>
        <v>Ukraine</v>
      </c>
      <c r="J16" s="229">
        <v>2</v>
      </c>
      <c r="K16" s="230"/>
    </row>
    <row r="17" spans="2:11" ht="14.25" thickBot="1" thickTop="1">
      <c r="B17" s="204"/>
      <c r="C17" s="212"/>
      <c r="D17" s="209"/>
      <c r="E17" s="204"/>
      <c r="F17" s="205"/>
      <c r="G17" s="213"/>
      <c r="H17" s="225" t="s">
        <v>277</v>
      </c>
      <c r="I17" s="226"/>
      <c r="J17" s="48"/>
      <c r="K17" s="49">
        <f>IF(J18="","",IF(J16=J18,"(Pens)",""))</f>
      </c>
    </row>
    <row r="18" spans="2:11" ht="16.5" thickBot="1" thickTop="1">
      <c r="B18" s="203"/>
      <c r="C18" s="233" t="s">
        <v>268</v>
      </c>
      <c r="D18" s="229">
        <v>1</v>
      </c>
      <c r="E18" s="230"/>
      <c r="F18" s="204"/>
      <c r="G18" s="214"/>
      <c r="H18" s="210"/>
      <c r="I18" s="234" t="str">
        <f>IF(D18="","",IF(D20="","",IF(D18&gt;D20,C18,IF(D18&lt;D20,C20,IF(AND(D18=D20,E20=""),"",IF(AND(D18=D20,E18&gt;E20),C18,IF(AND(D18=D20,E18&lt;E20),C20,"There must be a winner!")))))))</f>
        <v>Iceland</v>
      </c>
      <c r="J18" s="231">
        <v>1</v>
      </c>
      <c r="K18" s="232"/>
    </row>
    <row r="19" spans="2:15" ht="14.25" thickBot="1" thickTop="1">
      <c r="B19" s="225" t="s">
        <v>276</v>
      </c>
      <c r="C19" s="226"/>
      <c r="D19" s="48"/>
      <c r="E19" s="49">
        <f>IF(D20="","",IF(D18=D20,"(Pens)",""))</f>
      </c>
      <c r="F19" s="215"/>
      <c r="G19" s="207"/>
      <c r="H19" s="205"/>
      <c r="I19" s="205"/>
      <c r="J19" s="205"/>
      <c r="K19" s="205"/>
      <c r="O19" s="137" t="str">
        <f>IF(J18="","",IF(J16&gt;J18,I16,IF(J16&lt;J18,I18,IF(AND(J16=J18,K18=""),"",IF(AND(J16=J18,K16&gt;K18),I16,IF(AND(J16=J18,K16&lt;K18),I18,"There must be a winner!"))))))</f>
        <v>Ukraine</v>
      </c>
    </row>
    <row r="20" spans="2:11" ht="16.5" thickBot="1" thickTop="1">
      <c r="B20" s="210"/>
      <c r="C20" s="234" t="s">
        <v>269</v>
      </c>
      <c r="D20" s="231">
        <v>4</v>
      </c>
      <c r="E20" s="232"/>
      <c r="F20" s="204"/>
      <c r="G20" s="205"/>
      <c r="H20" s="216"/>
      <c r="I20" s="217"/>
      <c r="J20" s="205"/>
      <c r="K20" s="205"/>
    </row>
    <row r="21" ht="14.25" thickBot="1" thickTop="1"/>
    <row r="22" spans="2:11" ht="16.5" thickBot="1" thickTop="1">
      <c r="B22" s="203"/>
      <c r="C22" s="233" t="s">
        <v>263</v>
      </c>
      <c r="D22" s="229">
        <v>2</v>
      </c>
      <c r="E22" s="230"/>
      <c r="F22" s="204"/>
      <c r="G22" s="205"/>
      <c r="H22" s="205"/>
      <c r="I22" s="205"/>
      <c r="J22" s="205"/>
      <c r="K22" s="205"/>
    </row>
    <row r="23" spans="2:11" ht="14.25" thickBot="1" thickTop="1">
      <c r="B23" s="225" t="s">
        <v>271</v>
      </c>
      <c r="C23" s="226"/>
      <c r="D23" s="48"/>
      <c r="E23" s="49">
        <f>IF(D24="","",IF(D22=D24,"(Pens)",""))</f>
      </c>
      <c r="F23" s="206"/>
      <c r="G23" s="207"/>
      <c r="H23" s="228" t="s">
        <v>284</v>
      </c>
      <c r="I23" s="227"/>
      <c r="J23" s="209"/>
      <c r="K23" s="205"/>
    </row>
    <row r="24" spans="2:11" ht="16.5" thickBot="1" thickTop="1">
      <c r="B24" s="210"/>
      <c r="C24" s="234" t="s">
        <v>264</v>
      </c>
      <c r="D24" s="231">
        <v>0</v>
      </c>
      <c r="E24" s="232"/>
      <c r="F24" s="204"/>
      <c r="G24" s="211"/>
      <c r="H24" s="203"/>
      <c r="I24" s="233" t="str">
        <f>IF(D22="","",IF(D24="","",IF(D22&gt;D24,C22,IF(D22&lt;D24,C24,IF(AND(D22=D24,E24=""),"",IF(AND(D22=D24,E22&gt;E24),C22,IF(AND(D22=D24,E22&lt;E24),C24,"There must be a winner!")))))))</f>
        <v>Georgia</v>
      </c>
      <c r="J24" s="229">
        <v>0</v>
      </c>
      <c r="K24" s="230">
        <v>4</v>
      </c>
    </row>
    <row r="25" spans="2:11" ht="14.25" thickBot="1" thickTop="1">
      <c r="B25" s="204"/>
      <c r="C25" s="212"/>
      <c r="D25" s="209"/>
      <c r="E25" s="204"/>
      <c r="F25" s="205"/>
      <c r="G25" s="213"/>
      <c r="H25" s="225" t="s">
        <v>277</v>
      </c>
      <c r="I25" s="226"/>
      <c r="J25" s="48"/>
      <c r="K25" s="49" t="str">
        <f>IF(J26="","",IF(J24=J26,"(Pens)",""))</f>
        <v>(Pens)</v>
      </c>
    </row>
    <row r="26" spans="2:11" ht="16.5" thickBot="1" thickTop="1">
      <c r="B26" s="203"/>
      <c r="C26" s="233" t="s">
        <v>265</v>
      </c>
      <c r="D26" s="229">
        <v>5</v>
      </c>
      <c r="E26" s="230"/>
      <c r="F26" s="204"/>
      <c r="G26" s="214"/>
      <c r="H26" s="210"/>
      <c r="I26" s="234" t="str">
        <f>IF(D26="","",IF(D28="","",IF(D26&gt;D28,C26,IF(D26&lt;D28,C28,IF(AND(D26=D28,E28=""),"",IF(AND(D26=D28,E26&gt;E28),C26,IF(AND(D26=D28,E26&lt;E28),C28,"There must be a winner!")))))))</f>
        <v>Greece</v>
      </c>
      <c r="J26" s="231">
        <v>0</v>
      </c>
      <c r="K26" s="232">
        <v>2</v>
      </c>
    </row>
    <row r="27" spans="2:15" ht="14.25" thickBot="1" thickTop="1">
      <c r="B27" s="225" t="s">
        <v>270</v>
      </c>
      <c r="C27" s="226"/>
      <c r="D27" s="48"/>
      <c r="E27" s="49">
        <f>IF(D28="","",IF(D26=D28,"(Pens)",""))</f>
      </c>
      <c r="F27" s="215"/>
      <c r="G27" s="207"/>
      <c r="H27" s="205"/>
      <c r="I27" s="205"/>
      <c r="J27" s="205"/>
      <c r="K27" s="205"/>
      <c r="O27" s="137" t="str">
        <f>IF(J26="","",IF(J24&gt;J26,I24,IF(J24&lt;J26,I26,IF(AND(J24=J26,K26=""),"",IF(AND(J24=J26,K24&gt;K26),I24,IF(AND(J24=J26,K24&lt;K26),I26,"There must be a winner!"))))))</f>
        <v>Georgia</v>
      </c>
    </row>
    <row r="28" spans="2:11" ht="16.5" thickBot="1" thickTop="1">
      <c r="B28" s="210"/>
      <c r="C28" s="234" t="s">
        <v>266</v>
      </c>
      <c r="D28" s="231">
        <v>0</v>
      </c>
      <c r="E28" s="232"/>
      <c r="F28" s="204"/>
      <c r="G28" s="205"/>
      <c r="H28" s="216"/>
      <c r="I28" s="217"/>
      <c r="J28" s="205"/>
      <c r="K28" s="205"/>
    </row>
    <row r="29" spans="2:11" ht="13.5" thickTop="1">
      <c r="B29" s="205"/>
      <c r="C29" s="208"/>
      <c r="D29" s="209"/>
      <c r="E29" s="204"/>
      <c r="F29" s="204"/>
      <c r="G29" s="205"/>
      <c r="H29" s="218"/>
      <c r="I29" s="219"/>
      <c r="J29" s="205"/>
      <c r="K29" s="205"/>
    </row>
  </sheetData>
  <sheetProtection password="D825" sheet="1" objects="1" scenarios="1"/>
  <printOptions/>
  <pageMargins left="0.31496062992125984" right="0.31496062992125984" top="0.7480314960629921" bottom="0.7480314960629921" header="0.31496062992125984" footer="0.31496062992125984"/>
  <pageSetup orientation="landscape" r:id="rId3"/>
  <headerFooter>
    <oddHeader>&amp;L(c) McRopod Concepts 2024&amp;CEuro 2024 - Germany&amp;Rwww.mcropod.com.au</oddHeader>
    <oddFooter>&amp;Lwww.mcropod.com.au&amp;C&amp;A&amp;R&amp;F  &amp;D 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C3:M5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3" max="11" width="0" style="0" hidden="1" customWidth="1"/>
    <col min="12" max="12" width="18.7109375" style="0" hidden="1" customWidth="1"/>
    <col min="13" max="15" width="0" style="0" hidden="1" customWidth="1"/>
  </cols>
  <sheetData>
    <row r="3" ht="12.75">
      <c r="C3" t="s">
        <v>180</v>
      </c>
    </row>
    <row r="4" spans="3:13" ht="12.75">
      <c r="C4" t="s">
        <v>181</v>
      </c>
      <c r="L4" t="str">
        <f>C3</f>
        <v>Friday, June 14</v>
      </c>
      <c r="M4" t="str">
        <f>C4</f>
        <v>Group A: Germany vs. Scotland (Munich; 9 p.m. local / 3 p.m. ET)</v>
      </c>
    </row>
    <row r="5" spans="3:13" ht="12.75">
      <c r="C5" t="s">
        <v>182</v>
      </c>
      <c r="L5" t="str">
        <f>C5</f>
        <v>Saturday, June 15</v>
      </c>
      <c r="M5" t="str">
        <f>C6</f>
        <v>Group A: Hungary vs. Switzerland (Cologne; 3 p.m. local / 9 a.m. ET)</v>
      </c>
    </row>
    <row r="6" ht="12.75">
      <c r="C6" t="s">
        <v>183</v>
      </c>
    </row>
    <row r="7" spans="3:13" ht="12.75">
      <c r="C7" t="s">
        <v>184</v>
      </c>
      <c r="L7" t="str">
        <f>L5</f>
        <v>Saturday, June 15</v>
      </c>
      <c r="M7" t="str">
        <f>C7</f>
        <v>Group B: Spain vs. Croatia (Berlin; 6 p.m. local / midday ET)</v>
      </c>
    </row>
    <row r="8" spans="3:13" ht="12.75">
      <c r="C8" t="s">
        <v>185</v>
      </c>
      <c r="L8" t="str">
        <f>L7</f>
        <v>Saturday, June 15</v>
      </c>
      <c r="M8" t="str">
        <f>C8</f>
        <v>Group B: Italy vs. Albania (Dortmund; 9 p.m. local / 3 p.m. ET)</v>
      </c>
    </row>
    <row r="9" spans="3:12" ht="12.75">
      <c r="C9" t="s">
        <v>186</v>
      </c>
      <c r="L9" t="str">
        <f>C9</f>
        <v>Sunday, June 16</v>
      </c>
    </row>
    <row r="10" spans="3:13" ht="12.75">
      <c r="C10" t="s">
        <v>187</v>
      </c>
      <c r="L10" t="str">
        <f>L9</f>
        <v>Sunday, June 16</v>
      </c>
      <c r="M10" t="str">
        <f aca="true" t="shared" si="0" ref="M10:M51">C10</f>
        <v>Group D: Playoff Winner A vs. Netherlands (Hamburg; 3 p.m. local / 9 a.m. ET)</v>
      </c>
    </row>
    <row r="11" spans="3:13" ht="12.75">
      <c r="C11" t="s">
        <v>188</v>
      </c>
      <c r="L11" t="str">
        <f>L10</f>
        <v>Sunday, June 16</v>
      </c>
      <c r="M11" t="str">
        <f t="shared" si="0"/>
        <v>Group C: Slovenia vs. Denmark (Stuttgart; 6 p.m. local / midday ET)</v>
      </c>
    </row>
    <row r="12" spans="3:13" ht="12.75">
      <c r="C12" t="s">
        <v>189</v>
      </c>
      <c r="L12" t="str">
        <f>L11</f>
        <v>Sunday, June 16</v>
      </c>
      <c r="M12" t="str">
        <f t="shared" si="0"/>
        <v>Group C: Serbia vs. England (Gelsenkirchen; 9 p.m. local / 3 p.m. ET)</v>
      </c>
    </row>
    <row r="13" spans="3:12" ht="12.75">
      <c r="C13" t="s">
        <v>190</v>
      </c>
      <c r="L13" t="str">
        <f>C13</f>
        <v>Monday, June 17</v>
      </c>
    </row>
    <row r="14" spans="3:13" ht="12.75">
      <c r="C14" t="s">
        <v>191</v>
      </c>
      <c r="L14" t="str">
        <f>L13</f>
        <v>Monday, June 17</v>
      </c>
      <c r="M14" t="str">
        <f t="shared" si="0"/>
        <v>Group E: Romania vs. Playoff Winner B (Munich; 3 p.m. local / 9 a.m. ET)</v>
      </c>
    </row>
    <row r="15" spans="3:13" ht="12.75">
      <c r="C15" t="s">
        <v>192</v>
      </c>
      <c r="L15" t="str">
        <f>L14</f>
        <v>Monday, June 17</v>
      </c>
      <c r="M15" t="str">
        <f t="shared" si="0"/>
        <v>Group E: Belgium vs. Slovakia (Frankfurt; 6 p.m. local / midday ET)</v>
      </c>
    </row>
    <row r="16" spans="3:13" ht="12.75">
      <c r="C16" t="s">
        <v>193</v>
      </c>
      <c r="L16" t="str">
        <f>L15</f>
        <v>Monday, June 17</v>
      </c>
      <c r="M16" t="str">
        <f t="shared" si="0"/>
        <v>Group D: Austria vs. France (Düsseldorf; 9 p.m. local / 3 p.m. ET)</v>
      </c>
    </row>
    <row r="17" spans="3:12" ht="12.75">
      <c r="C17" t="s">
        <v>194</v>
      </c>
      <c r="L17" t="str">
        <f>C17</f>
        <v>Tuesday, June 18</v>
      </c>
    </row>
    <row r="18" spans="3:13" ht="12.75">
      <c r="C18" t="s">
        <v>195</v>
      </c>
      <c r="L18" t="str">
        <f>L17</f>
        <v>Tuesday, June 18</v>
      </c>
      <c r="M18" t="str">
        <f t="shared" si="0"/>
        <v>Group F: Turkey vs. Playoff Winner C (Dortmund; 6 p.m. local / midday ET)</v>
      </c>
    </row>
    <row r="19" spans="3:13" ht="12.75">
      <c r="C19" t="s">
        <v>196</v>
      </c>
      <c r="L19" t="str">
        <f>L18</f>
        <v>Tuesday, June 18</v>
      </c>
      <c r="M19" t="str">
        <f t="shared" si="0"/>
        <v>Group F: Portugal vs. Czechia (Leipzig; 9 p.m. local / 3 p.m. ET)</v>
      </c>
    </row>
    <row r="20" spans="3:12" ht="12.75">
      <c r="C20" t="s">
        <v>197</v>
      </c>
      <c r="L20" t="str">
        <f>C20</f>
        <v>Wednesday, June 19</v>
      </c>
    </row>
    <row r="21" spans="3:13" ht="12.75">
      <c r="C21" t="s">
        <v>198</v>
      </c>
      <c r="L21" t="str">
        <f>L20</f>
        <v>Wednesday, June 19</v>
      </c>
      <c r="M21" t="str">
        <f t="shared" si="0"/>
        <v>Group B: Croatia vs. Albania (Hamburg; 3 p.m. local / 9 a.m. ET)</v>
      </c>
    </row>
    <row r="22" spans="3:13" ht="12.75">
      <c r="C22" t="s">
        <v>199</v>
      </c>
      <c r="L22" t="str">
        <f>L21</f>
        <v>Wednesday, June 19</v>
      </c>
      <c r="M22" t="str">
        <f t="shared" si="0"/>
        <v>Group A: Germany vs. Hungary (Stuttgart; 6 p.m. local / midday ET)</v>
      </c>
    </row>
    <row r="23" spans="3:13" ht="12.75">
      <c r="C23" t="s">
        <v>200</v>
      </c>
      <c r="L23" t="str">
        <f>L22</f>
        <v>Wednesday, June 19</v>
      </c>
      <c r="M23" t="str">
        <f t="shared" si="0"/>
        <v>Group A: Scotland vs. Switzerland (Cologne; 9 p.m. local / 3 p.m. ET)</v>
      </c>
    </row>
    <row r="24" spans="3:12" ht="12.75">
      <c r="C24" t="s">
        <v>201</v>
      </c>
      <c r="L24" t="str">
        <f>C24</f>
        <v>Thursday, June 20</v>
      </c>
    </row>
    <row r="25" spans="3:13" ht="12.75">
      <c r="C25" t="s">
        <v>202</v>
      </c>
      <c r="L25" t="str">
        <f>L24</f>
        <v>Thursday, June 20</v>
      </c>
      <c r="M25" t="str">
        <f t="shared" si="0"/>
        <v>Group C: Slovenia vs. Serbia (Munich; 3 p.m. local / 9 a.m. ET)</v>
      </c>
    </row>
    <row r="26" spans="3:13" ht="12.75">
      <c r="C26" t="s">
        <v>203</v>
      </c>
      <c r="L26" t="str">
        <f>L25</f>
        <v>Thursday, June 20</v>
      </c>
      <c r="M26" t="str">
        <f t="shared" si="0"/>
        <v>Group C: Denmark vs. England (Frankfurt; 6 p.m. local / midday ET)</v>
      </c>
    </row>
    <row r="27" spans="3:13" ht="12.75">
      <c r="C27" t="s">
        <v>204</v>
      </c>
      <c r="L27" t="str">
        <f>L26</f>
        <v>Thursday, June 20</v>
      </c>
      <c r="M27" t="str">
        <f t="shared" si="0"/>
        <v>Group B: Spain vs. Italy (Gelsenkirchen; 9 p.m. local / 3 p.m. ET)</v>
      </c>
    </row>
    <row r="28" spans="3:12" ht="12.75">
      <c r="C28" t="s">
        <v>205</v>
      </c>
      <c r="L28" t="str">
        <f>C28</f>
        <v>Friday, June 21</v>
      </c>
    </row>
    <row r="29" spans="3:13" ht="12.75">
      <c r="C29" t="s">
        <v>206</v>
      </c>
      <c r="L29" t="str">
        <f>L28</f>
        <v>Friday, June 21</v>
      </c>
      <c r="M29" t="str">
        <f t="shared" si="0"/>
        <v>Group E: Slovakia vs. Playoff Winner B (Düsseldorf; 3 p.m. local / 9 a.m. ET)</v>
      </c>
    </row>
    <row r="30" spans="3:13" ht="12.75">
      <c r="C30" t="s">
        <v>207</v>
      </c>
      <c r="L30" t="str">
        <f>L29</f>
        <v>Friday, June 21</v>
      </c>
      <c r="M30" t="str">
        <f t="shared" si="0"/>
        <v>Group D: Playoff Winner A vs. Austria (Berlin; 6 p.m. local / midday ET)</v>
      </c>
    </row>
    <row r="31" spans="3:13" ht="12.75">
      <c r="C31" t="s">
        <v>208</v>
      </c>
      <c r="L31" t="str">
        <f>L30</f>
        <v>Friday, June 21</v>
      </c>
      <c r="M31" t="str">
        <f t="shared" si="0"/>
        <v>Group D: Netherlands vs. France (Leipzig; 9 p.m. local / 3 p.m. ET)</v>
      </c>
    </row>
    <row r="32" spans="3:12" ht="12.75">
      <c r="C32" t="s">
        <v>209</v>
      </c>
      <c r="L32" t="str">
        <f>C32</f>
        <v>Saturday, June 22</v>
      </c>
    </row>
    <row r="33" spans="3:13" ht="12.75">
      <c r="C33" t="s">
        <v>210</v>
      </c>
      <c r="L33" t="str">
        <f>L32</f>
        <v>Saturday, June 22</v>
      </c>
      <c r="M33" t="str">
        <f t="shared" si="0"/>
        <v>Group F: Playoff Winner C vs. Czechia (Hamburg; 3 p.m. local / 9 a.m. ET)</v>
      </c>
    </row>
    <row r="34" spans="3:13" ht="12.75">
      <c r="C34" t="s">
        <v>211</v>
      </c>
      <c r="L34" t="str">
        <f>L33</f>
        <v>Saturday, June 22</v>
      </c>
      <c r="M34" t="str">
        <f t="shared" si="0"/>
        <v>Group F: Turkey vs. Portugal (Dortmund; 6 p.m. local / midday ET)</v>
      </c>
    </row>
    <row r="35" spans="3:13" ht="12.75">
      <c r="C35" t="s">
        <v>212</v>
      </c>
      <c r="L35" t="str">
        <f>L34</f>
        <v>Saturday, June 22</v>
      </c>
      <c r="M35" t="str">
        <f t="shared" si="0"/>
        <v>Group E: Belgium vs. Romania (Cologne; 9 p.m. local / 3 p.m. ET)</v>
      </c>
    </row>
    <row r="36" spans="3:12" ht="12.75">
      <c r="C36" t="s">
        <v>213</v>
      </c>
      <c r="L36" t="str">
        <f>C36</f>
        <v>Sunday, June 23</v>
      </c>
    </row>
    <row r="37" spans="3:13" ht="12.75">
      <c r="C37" t="s">
        <v>214</v>
      </c>
      <c r="L37" t="str">
        <f>L36</f>
        <v>Sunday, June 23</v>
      </c>
      <c r="M37" t="str">
        <f t="shared" si="0"/>
        <v>Group A: Switzerland vs. Germany (Frankfurt; 9 p.m. local / 3 p.m. ET)</v>
      </c>
    </row>
    <row r="38" spans="3:13" ht="12.75">
      <c r="C38" t="s">
        <v>215</v>
      </c>
      <c r="L38" t="str">
        <f>L37</f>
        <v>Sunday, June 23</v>
      </c>
      <c r="M38" t="str">
        <f t="shared" si="0"/>
        <v>Group A: Scotland vs. Hungary (Stuttgart; 9 p.m. local / 3 p.m. ET)</v>
      </c>
    </row>
    <row r="39" spans="3:12" ht="12.75">
      <c r="C39" t="s">
        <v>216</v>
      </c>
      <c r="L39" t="str">
        <f>C39</f>
        <v>Monday, June 24</v>
      </c>
    </row>
    <row r="40" spans="3:13" ht="12.75">
      <c r="C40" t="s">
        <v>217</v>
      </c>
      <c r="L40" t="str">
        <f>L39</f>
        <v>Monday, June 24</v>
      </c>
      <c r="M40" t="str">
        <f t="shared" si="0"/>
        <v>Group B: Albania vs. Spain (Düsseldorf; 9 p.m. local / 3 p.m. ET)</v>
      </c>
    </row>
    <row r="41" spans="3:13" ht="12.75">
      <c r="C41" t="s">
        <v>218</v>
      </c>
      <c r="L41" t="str">
        <f>L40</f>
        <v>Monday, June 24</v>
      </c>
      <c r="M41" t="str">
        <f t="shared" si="0"/>
        <v>Group B: Croatia vs. Italy (Leipzig; 9 p.m. local / 3 p.m. ET)</v>
      </c>
    </row>
    <row r="42" spans="3:12" ht="12.75">
      <c r="C42" t="s">
        <v>219</v>
      </c>
      <c r="L42" t="str">
        <f>C42</f>
        <v>Tuesday, June 25</v>
      </c>
    </row>
    <row r="43" spans="3:13" ht="12.75">
      <c r="C43" t="s">
        <v>220</v>
      </c>
      <c r="L43" t="str">
        <f>L42</f>
        <v>Tuesday, June 25</v>
      </c>
      <c r="M43" t="str">
        <f t="shared" si="0"/>
        <v>Group D: France vs. Playoff Winner A (Dortmund; 6 p.m. local / midday ET)</v>
      </c>
    </row>
    <row r="44" spans="3:13" ht="12.75">
      <c r="C44" t="s">
        <v>221</v>
      </c>
      <c r="L44" t="str">
        <f>L43</f>
        <v>Tuesday, June 25</v>
      </c>
      <c r="M44" t="str">
        <f t="shared" si="0"/>
        <v>Group D: Netherlands vs. Austria (Berlin; 6 p.m. local / midday ET)</v>
      </c>
    </row>
    <row r="45" spans="3:13" ht="12.75">
      <c r="C45" t="s">
        <v>222</v>
      </c>
      <c r="L45" t="str">
        <f>L44</f>
        <v>Tuesday, June 25</v>
      </c>
      <c r="M45" t="str">
        <f t="shared" si="0"/>
        <v>Group C: England vs. Slovenia (Cologne; 9 p.m. local / 3 p.m. ET)</v>
      </c>
    </row>
    <row r="46" spans="3:13" ht="12.75">
      <c r="C46" t="s">
        <v>223</v>
      </c>
      <c r="L46" t="str">
        <f>L45</f>
        <v>Tuesday, June 25</v>
      </c>
      <c r="M46" t="str">
        <f t="shared" si="0"/>
        <v>Group C: Denmark vs. Serbia (Munich; 9 p.m. local / 3 p.m. ET)</v>
      </c>
    </row>
    <row r="47" spans="3:12" ht="12.75">
      <c r="C47" t="s">
        <v>224</v>
      </c>
      <c r="L47" t="str">
        <f>C47</f>
        <v>Wednesday, June 26</v>
      </c>
    </row>
    <row r="48" spans="3:13" ht="12.75">
      <c r="C48" t="s">
        <v>225</v>
      </c>
      <c r="L48" t="str">
        <f>L47</f>
        <v>Wednesday, June 26</v>
      </c>
      <c r="M48" t="str">
        <f t="shared" si="0"/>
        <v>Group E: Playoff Winner B vs. Belgium (Stuttgart; 6 p.m. local / midday ET)</v>
      </c>
    </row>
    <row r="49" spans="3:13" ht="12.75">
      <c r="C49" t="s">
        <v>226</v>
      </c>
      <c r="L49" t="str">
        <f>L48</f>
        <v>Wednesday, June 26</v>
      </c>
      <c r="M49" t="str">
        <f t="shared" si="0"/>
        <v>Group E: Slovakia vs. Romania (Frankfurt; 6 p.m. local / midday ET)</v>
      </c>
    </row>
    <row r="50" spans="3:13" ht="12.75">
      <c r="C50" t="s">
        <v>227</v>
      </c>
      <c r="L50" t="str">
        <f>L49</f>
        <v>Wednesday, June 26</v>
      </c>
      <c r="M50" t="str">
        <f t="shared" si="0"/>
        <v>Group F: Czechia vs. Turkey (Hamburg; 9 p.m. local / 3 p.m. ET)</v>
      </c>
    </row>
    <row r="51" spans="3:13" ht="12.75">
      <c r="C51" t="s">
        <v>228</v>
      </c>
      <c r="L51" t="str">
        <f>L50</f>
        <v>Wednesday, June 26</v>
      </c>
      <c r="M51" t="str">
        <f t="shared" si="0"/>
        <v>Group F: Playoff Winner C vs. Portugal (Gelsenkirchen; 9 p.m. local / 3 p.m. ET)</v>
      </c>
    </row>
  </sheetData>
  <sheetProtection password="D825" sheet="1" objects="1" scenarios="1"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T42"/>
  <sheetViews>
    <sheetView showGridLines="0" showRowColHeaders="0" zoomScalePageLayoutView="0" workbookViewId="0" topLeftCell="A1">
      <pane xSplit="2" topLeftCell="U1" activePane="topRight" state="frozen"/>
      <selection pane="topLeft" activeCell="A1" sqref="A1"/>
      <selection pane="topRight" activeCell="V15" sqref="V15"/>
    </sheetView>
  </sheetViews>
  <sheetFormatPr defaultColWidth="9.140625" defaultRowHeight="12.75"/>
  <cols>
    <col min="1" max="1" width="2.140625" style="2" customWidth="1"/>
    <col min="2" max="2" width="13.7109375" style="3" hidden="1" customWidth="1"/>
    <col min="3" max="11" width="5.7109375" style="2" hidden="1" customWidth="1"/>
    <col min="12" max="12" width="5.00390625" style="2" hidden="1" customWidth="1"/>
    <col min="13" max="20" width="5.7109375" style="1" hidden="1" customWidth="1"/>
    <col min="21" max="16384" width="9.140625" style="2" customWidth="1"/>
  </cols>
  <sheetData>
    <row r="2" spans="2:20" ht="11.25">
      <c r="B2" s="3" t="str">
        <f>M7</f>
        <v>Incomplete</v>
      </c>
      <c r="D2" s="2" t="str">
        <f>B4</f>
        <v>Switzerland</v>
      </c>
      <c r="G2" s="2" t="str">
        <f>B5</f>
        <v>Germany</v>
      </c>
      <c r="J2" s="2" t="str">
        <f>B6</f>
        <v>Hungary</v>
      </c>
      <c r="M2" s="1" t="s">
        <v>6</v>
      </c>
      <c r="N2" s="1" t="s">
        <v>7</v>
      </c>
      <c r="O2" s="1" t="s">
        <v>8</v>
      </c>
      <c r="P2" s="1" t="s">
        <v>9</v>
      </c>
      <c r="Q2" s="1" t="s">
        <v>10</v>
      </c>
      <c r="R2" s="1" t="s">
        <v>11</v>
      </c>
      <c r="S2" s="1" t="s">
        <v>12</v>
      </c>
      <c r="T2" s="1" t="s">
        <v>13</v>
      </c>
    </row>
    <row r="3" spans="2:20" ht="11.25">
      <c r="B3" s="3" t="str">
        <f>Fixtures!G4</f>
        <v>Scotland</v>
      </c>
      <c r="C3" s="1">
        <f>IF(Fixtures!J4="","",Fixtures!J4)</f>
      </c>
      <c r="D3" s="1">
        <f>IF(Fixtures!K4="","",Fixtures!K4)</f>
      </c>
      <c r="E3" s="1">
        <f>IF(C3="","",IF(D3="","",IF(C3&gt;D3,"W",IF(C3=D3,"D",IF(C3&lt;D3,"L","")))))</f>
      </c>
      <c r="F3" s="1">
        <f>IF(Fixtures!K5="","",Fixtures!K5)</f>
      </c>
      <c r="G3" s="1">
        <f>IF(Fixtures!J5="","",Fixtures!J5)</f>
      </c>
      <c r="H3" s="1">
        <f>IF(F3="","",IF(G3="","",IF(F3&gt;G3,"W",IF(F3=G3,"D",IF(F3&lt;G3,"L","")))))</f>
      </c>
      <c r="I3" s="1">
        <f>IF(Fixtures!K7="","",Fixtures!K7)</f>
      </c>
      <c r="J3" s="1">
        <f>IF(Fixtures!J7="","",Fixtures!J7)</f>
      </c>
      <c r="K3" s="1">
        <f>IF(I3="","",IF(J3="","",IF(I3&gt;J3,"W",IF(I3=J3,"D",IF(I3&lt;J3,"L","")))))</f>
      </c>
      <c r="M3" s="1">
        <f>SUM(N3)+SUM(O3)+SUM(P3)</f>
        <v>0</v>
      </c>
      <c r="N3" s="1">
        <f>IF(E3="W",1,0)+IF(H3="W",1,0)+IF(K3="W",1,0)</f>
        <v>0</v>
      </c>
      <c r="O3" s="1">
        <f>IF(E3="D",1,0)+IF(H3="D",1,0)+IF(K3="D",1,0)</f>
        <v>0</v>
      </c>
      <c r="P3" s="1">
        <f>IF(E3="L",1,0)+IF(H3="L",1,0)+IF(K3="L",1,0)</f>
        <v>0</v>
      </c>
      <c r="Q3" s="1">
        <f>SUM(C3)+SUM(F3)+SUM(I3)</f>
        <v>0</v>
      </c>
      <c r="R3" s="1">
        <f>SUM(D3)+SUM(G3)+SUM(J3)</f>
        <v>0</v>
      </c>
      <c r="S3" s="1">
        <f>Q3-R3</f>
        <v>0</v>
      </c>
      <c r="T3" s="1">
        <f>SUM(N3*3)+SUM(O3)</f>
        <v>0</v>
      </c>
    </row>
    <row r="4" spans="2:20" ht="11.25">
      <c r="B4" s="3" t="str">
        <f>Fixtures!I4</f>
        <v>Switzerland</v>
      </c>
      <c r="C4" s="4"/>
      <c r="D4" s="4"/>
      <c r="E4" s="4"/>
      <c r="F4" s="1">
        <f>IF(Fixtures!J8="","",Fixtures!J8)</f>
      </c>
      <c r="G4" s="1">
        <f>IF(Fixtures!K8="","",Fixtures!K8)</f>
      </c>
      <c r="H4" s="1">
        <f>IF(F4="","",IF(G4="","",IF(F4&gt;G4,"W",IF(F4=G4,"D",IF(F4&lt;G4,"L","")))))</f>
      </c>
      <c r="I4" s="1">
        <f>IF(Fixtures!K6="","",Fixtures!K6)</f>
      </c>
      <c r="J4" s="1">
        <f>IF(Fixtures!J6="","",Fixtures!J6)</f>
      </c>
      <c r="K4" s="1">
        <f>IF(I4="","",IF(J4="","",IF(I4&gt;J4,"W",IF(I4=J4,"D",IF(I4&lt;J4,"L","")))))</f>
      </c>
      <c r="M4" s="1">
        <f>SUM(N4)+SUM(O4)+SUM(P4)</f>
        <v>0</v>
      </c>
      <c r="N4" s="1">
        <f>IF(E3="L",1,0)+IF(H4="W",1,0)+IF(K4="W",1,0)</f>
        <v>0</v>
      </c>
      <c r="O4" s="1">
        <f>IF(E3="D",1,0)+IF(H4="D",1,0)+IF(K4="D",1,0)</f>
        <v>0</v>
      </c>
      <c r="P4" s="1">
        <f>IF(E3="W",1,0)+IF(H4="L",1,0)+IF(K4="L",1,0)</f>
        <v>0</v>
      </c>
      <c r="Q4" s="1">
        <f>SUM(D3)+SUM(F4)+SUM(I4)</f>
        <v>0</v>
      </c>
      <c r="R4" s="1">
        <f>SUM(C3)+SUM(G4)+SUM(J4)</f>
        <v>0</v>
      </c>
      <c r="S4" s="1">
        <f>Q4-R4</f>
        <v>0</v>
      </c>
      <c r="T4" s="1">
        <f>SUM(N4*3)+SUM(O4)</f>
        <v>0</v>
      </c>
    </row>
    <row r="5" spans="2:20" ht="11.25">
      <c r="B5" s="3" t="str">
        <f>Fixtures!G3</f>
        <v>Germany</v>
      </c>
      <c r="C5" s="4"/>
      <c r="D5" s="4"/>
      <c r="E5" s="4"/>
      <c r="F5" s="4"/>
      <c r="G5" s="4"/>
      <c r="H5" s="4"/>
      <c r="I5" s="1">
        <f>IF(Fixtures!J3="","",Fixtures!J3)</f>
      </c>
      <c r="J5" s="1">
        <f>IF(Fixtures!K3="","",Fixtures!K3)</f>
      </c>
      <c r="K5" s="1">
        <f>IF(I5="","",IF(J5="","",IF(I5&gt;J5,"W",IF(I5=J5,"D",IF(I5&lt;J5,"L","")))))</f>
      </c>
      <c r="M5" s="1">
        <f>SUM(N5)+SUM(O5)+SUM(P5)</f>
        <v>0</v>
      </c>
      <c r="N5" s="1">
        <f>IF(H3="L",1,0)+IF(H4="L",1,0)+IF(K5="W",1,0)</f>
        <v>0</v>
      </c>
      <c r="O5" s="1">
        <f>IF(H3="D",1,0)+IF(H4="D",1,0)+IF(K5="D",1,0)</f>
        <v>0</v>
      </c>
      <c r="P5" s="1">
        <f>IF(H3="W",1,0)+IF(H4="W",1,0)+IF(K5="L",1,0)</f>
        <v>0</v>
      </c>
      <c r="Q5" s="1">
        <f>SUM(G3)+SUM(G4)+SUM(I5)</f>
        <v>0</v>
      </c>
      <c r="R5" s="1">
        <f>SUM(F3)+SUM(F4)+SUM(J5)</f>
        <v>0</v>
      </c>
      <c r="S5" s="1">
        <f>Q5-R5</f>
        <v>0</v>
      </c>
      <c r="T5" s="1">
        <f>SUM(N5*3)+SUM(O5)</f>
        <v>0</v>
      </c>
    </row>
    <row r="6" spans="2:20" ht="11.25">
      <c r="B6" s="3" t="str">
        <f>Fixtures!I3</f>
        <v>Hungary</v>
      </c>
      <c r="C6" s="4"/>
      <c r="D6" s="4"/>
      <c r="E6" s="4"/>
      <c r="F6" s="182"/>
      <c r="G6" s="182"/>
      <c r="H6" s="4"/>
      <c r="I6" s="4"/>
      <c r="J6" s="4"/>
      <c r="K6" s="4"/>
      <c r="M6" s="1">
        <f>SUM(N6)+SUM(O6)+SUM(P6)</f>
        <v>0</v>
      </c>
      <c r="N6" s="1">
        <f>IF(K3="L",1,0)+IF(K4="L",1,0)+IF(K5="L",1,0)</f>
        <v>0</v>
      </c>
      <c r="O6" s="1">
        <f>IF(K3="D",1,0)+IF(K4="D",1,0)+IF(K5="D",1,0)</f>
        <v>0</v>
      </c>
      <c r="P6" s="1">
        <f>IF(K3="W",1,0)+IF(K4="W",1,0)+IF(K5="W",1,0)</f>
        <v>0</v>
      </c>
      <c r="Q6" s="1">
        <f>SUM(J3)+SUM(J4)+SUM(J5)</f>
        <v>0</v>
      </c>
      <c r="R6" s="1">
        <f>SUM(I3)+SUM(I4)+SUM(I5)</f>
        <v>0</v>
      </c>
      <c r="S6" s="1">
        <f>Q6-R6</f>
        <v>0</v>
      </c>
      <c r="T6" s="1">
        <f>SUM(N6*3)+SUM(O6)</f>
        <v>0</v>
      </c>
    </row>
    <row r="7" spans="3:13" ht="12.75">
      <c r="C7"/>
      <c r="D7"/>
      <c r="I7"/>
      <c r="J7"/>
      <c r="M7" s="3" t="str">
        <f>IF(SUM(M3:M6)=12,"Final Table","Incomplete")</f>
        <v>Incomplete</v>
      </c>
    </row>
    <row r="9" spans="2:20" ht="11.25">
      <c r="B9" s="3" t="str">
        <f>M14</f>
        <v>Incomplete</v>
      </c>
      <c r="D9" s="2" t="str">
        <f>B11</f>
        <v>Italy</v>
      </c>
      <c r="G9" s="2" t="str">
        <f>B12</f>
        <v>Croatia</v>
      </c>
      <c r="J9" s="2" t="str">
        <f>B13</f>
        <v>Albania</v>
      </c>
      <c r="M9" s="1" t="s">
        <v>6</v>
      </c>
      <c r="N9" s="1" t="s">
        <v>7</v>
      </c>
      <c r="O9" s="1" t="s">
        <v>8</v>
      </c>
      <c r="P9" s="1" t="s">
        <v>9</v>
      </c>
      <c r="Q9" s="1" t="s">
        <v>10</v>
      </c>
      <c r="R9" s="1" t="s">
        <v>11</v>
      </c>
      <c r="S9" s="1" t="s">
        <v>12</v>
      </c>
      <c r="T9" s="1" t="s">
        <v>13</v>
      </c>
    </row>
    <row r="10" spans="2:20" ht="11.25">
      <c r="B10" s="3" t="str">
        <f>Fixtures!G10</f>
        <v>Spain</v>
      </c>
      <c r="C10" s="1">
        <f>IF(Fixtures!J13="","",Fixtures!J13)</f>
      </c>
      <c r="D10" s="1">
        <f>IF(Fixtures!K13="","",Fixtures!K13)</f>
      </c>
      <c r="E10" s="1">
        <f>IF(C10="","",IF(D10="","",IF(C10&gt;D10,"W",IF(C10=D10,"D",IF(C10&lt;D10,"L","")))))</f>
      </c>
      <c r="F10" s="1">
        <f>IF(Fixtures!J10="","",Fixtures!J10)</f>
      </c>
      <c r="G10" s="1">
        <f>IF(Fixtures!K10="","",Fixtures!K10)</f>
      </c>
      <c r="H10" s="1">
        <f>IF(F10="","",IF(G10="","",IF(F10&gt;G10,"W",IF(F10=G10,"D",IF(F10&lt;G10,"L","")))))</f>
      </c>
      <c r="I10" s="1">
        <f>IF(Fixtures!K15="","",Fixtures!K15)</f>
      </c>
      <c r="J10" s="1">
        <f>IF(Fixtures!J15="","",Fixtures!J15)</f>
      </c>
      <c r="K10" s="1">
        <f>IF(I10="","",IF(J10="","",IF(I10&gt;J10,"W",IF(I10=J10,"D",IF(I10&lt;J10,"L","")))))</f>
      </c>
      <c r="M10" s="1">
        <f>SUM(N10)+SUM(O10)+SUM(P10)</f>
        <v>0</v>
      </c>
      <c r="N10" s="1">
        <f>IF(E10="W",1,0)+IF(H10="W",1,0)+IF(K10="W",1,0)</f>
        <v>0</v>
      </c>
      <c r="O10" s="1">
        <f>IF(E10="D",1,0)+IF(H10="D",1,0)+IF(K10="D",1,0)</f>
        <v>0</v>
      </c>
      <c r="P10" s="1">
        <f>IF(E10="L",1,0)+IF(H10="L",1,0)+IF(K10="L",1,0)</f>
        <v>0</v>
      </c>
      <c r="Q10" s="1">
        <f>SUM(C10)+SUM(F10)+SUM(I10)</f>
        <v>0</v>
      </c>
      <c r="R10" s="1">
        <f>SUM(D10)+SUM(G10)+SUM(J10)</f>
        <v>0</v>
      </c>
      <c r="S10" s="1">
        <f>Q10-R10</f>
        <v>0</v>
      </c>
      <c r="T10" s="1">
        <f>SUM(N10*3)+SUM(O10)</f>
        <v>0</v>
      </c>
    </row>
    <row r="11" spans="2:20" ht="11.25">
      <c r="B11" s="3" t="str">
        <f>Fixtures!G11</f>
        <v>Italy</v>
      </c>
      <c r="C11" s="4"/>
      <c r="D11" s="4"/>
      <c r="E11" s="4"/>
      <c r="F11" s="1">
        <f>IF(Fixtures!K14="","",Fixtures!K14)</f>
      </c>
      <c r="G11" s="1">
        <f>IF(Fixtures!J14="","",Fixtures!J14)</f>
      </c>
      <c r="H11" s="1">
        <f>IF(F11="","",IF(G11="","",IF(F11&gt;G11,"W",IF(F11=G11,"D",IF(F11&lt;G11,"L","")))))</f>
      </c>
      <c r="I11" s="1">
        <f>IF(Fixtures!J11="","",Fixtures!J11)</f>
      </c>
      <c r="J11" s="1">
        <f>IF(Fixtures!K11="","",Fixtures!K11)</f>
      </c>
      <c r="K11" s="1">
        <f>IF(I11="","",IF(J11="","",IF(I11&gt;J11,"W",IF(I11=J11,"D",IF(I11&lt;J11,"L","")))))</f>
      </c>
      <c r="M11" s="1">
        <f>SUM(N11)+SUM(O11)+SUM(P11)</f>
        <v>0</v>
      </c>
      <c r="N11" s="1">
        <f>IF(E10="L",1,0)+IF(H11="W",1,0)+IF(K11="W",1,0)</f>
        <v>0</v>
      </c>
      <c r="O11" s="1">
        <f>IF(E10="D",1,0)+IF(H11="D",1,0)+IF(K11="D",1,0)</f>
        <v>0</v>
      </c>
      <c r="P11" s="1">
        <f>IF(E10="W",1,0)+IF(H11="L",1,0)+IF(K11="L",1,0)</f>
        <v>0</v>
      </c>
      <c r="Q11" s="1">
        <f>SUM(D10)+SUM(F11)+SUM(I11)</f>
        <v>0</v>
      </c>
      <c r="R11" s="1">
        <f>SUM(C10)+SUM(G11)+SUM(J11)</f>
        <v>0</v>
      </c>
      <c r="S11" s="1">
        <f>Q11-R11</f>
        <v>0</v>
      </c>
      <c r="T11" s="1">
        <f>SUM(N11*3)+SUM(O11)</f>
        <v>0</v>
      </c>
    </row>
    <row r="12" spans="2:20" ht="11.25">
      <c r="B12" s="3" t="str">
        <f>Fixtures!I10</f>
        <v>Croatia</v>
      </c>
      <c r="C12" s="182"/>
      <c r="D12" s="182"/>
      <c r="E12" s="4"/>
      <c r="F12" s="4"/>
      <c r="G12" s="4"/>
      <c r="H12" s="4"/>
      <c r="I12" s="1">
        <f>IF(Fixtures!J12="","",Fixtures!J12)</f>
      </c>
      <c r="J12" s="1">
        <f>IF(Fixtures!K12="","",Fixtures!K12)</f>
      </c>
      <c r="K12" s="1">
        <f>IF(I12="","",IF(J12="","",IF(I12&gt;J12,"W",IF(I12=J12,"D",IF(I12&lt;J12,"L","")))))</f>
      </c>
      <c r="M12" s="1">
        <f>SUM(N12)+SUM(O12)+SUM(P12)</f>
        <v>0</v>
      </c>
      <c r="N12" s="1">
        <f>IF(H10="L",1,0)+IF(H11="L",1,0)+IF(K12="W",1,0)</f>
        <v>0</v>
      </c>
      <c r="O12" s="1">
        <f>IF(H10="D",1,0)+IF(H11="D",1,0)+IF(K12="D",1,0)</f>
        <v>0</v>
      </c>
      <c r="P12" s="1">
        <f>IF(H10="W",1,0)+IF(H11="W",1,0)+IF(K12="L",1,0)</f>
        <v>0</v>
      </c>
      <c r="Q12" s="1">
        <f>SUM(G10)+SUM(G11)+SUM(I12)</f>
        <v>0</v>
      </c>
      <c r="R12" s="1">
        <f>SUM(F10)+SUM(F11)+SUM(J12)</f>
        <v>0</v>
      </c>
      <c r="S12" s="1">
        <f>Q12-R12</f>
        <v>0</v>
      </c>
      <c r="T12" s="1">
        <f>SUM(N12*3)+SUM(O12)</f>
        <v>0</v>
      </c>
    </row>
    <row r="13" spans="2:20" ht="11.25">
      <c r="B13" s="3" t="str">
        <f>Fixtures!I11</f>
        <v>Albania</v>
      </c>
      <c r="C13" s="4"/>
      <c r="D13" s="4"/>
      <c r="E13" s="4"/>
      <c r="F13" s="182"/>
      <c r="G13" s="182"/>
      <c r="H13" s="4"/>
      <c r="I13" s="4"/>
      <c r="J13" s="4"/>
      <c r="K13" s="4"/>
      <c r="M13" s="1">
        <f>SUM(N13)+SUM(O13)+SUM(P13)</f>
        <v>0</v>
      </c>
      <c r="N13" s="1">
        <f>IF(K10="L",1,0)+IF(K11="L",1,0)+IF(K12="L",1,0)</f>
        <v>0</v>
      </c>
      <c r="O13" s="1">
        <f>IF(K10="D",1,0)+IF(K11="D",1,0)+IF(K12="D",1,0)</f>
        <v>0</v>
      </c>
      <c r="P13" s="1">
        <f>IF(K10="W",1,0)+IF(K11="W",1,0)+IF(K12="W",1,0)</f>
        <v>0</v>
      </c>
      <c r="Q13" s="1">
        <f>SUM(J10)+SUM(J11)+SUM(J12)</f>
        <v>0</v>
      </c>
      <c r="R13" s="1">
        <f>SUM(I10)+SUM(I11)+SUM(I12)</f>
        <v>0</v>
      </c>
      <c r="S13" s="1">
        <f>Q13-R13</f>
        <v>0</v>
      </c>
      <c r="T13" s="1">
        <f>SUM(N13*3)+SUM(O13)</f>
        <v>0</v>
      </c>
    </row>
    <row r="14" ht="11.25">
      <c r="M14" s="3" t="str">
        <f>IF(SUM(M10:M13)=12,"Final Table","Incomplete")</f>
        <v>Incomplete</v>
      </c>
    </row>
    <row r="16" spans="2:20" ht="11.25">
      <c r="B16" s="3" t="str">
        <f>M21</f>
        <v>Incomplete</v>
      </c>
      <c r="D16" s="2" t="str">
        <f>B18</f>
        <v>England</v>
      </c>
      <c r="G16" s="2" t="str">
        <f>B19</f>
        <v>Slovenia</v>
      </c>
      <c r="J16" s="2" t="str">
        <f>B20</f>
        <v>Denmark</v>
      </c>
      <c r="M16" s="1" t="s">
        <v>6</v>
      </c>
      <c r="N16" s="1" t="s">
        <v>7</v>
      </c>
      <c r="O16" s="1" t="s">
        <v>8</v>
      </c>
      <c r="P16" s="1" t="s">
        <v>9</v>
      </c>
      <c r="Q16" s="1" t="s">
        <v>10</v>
      </c>
      <c r="R16" s="1" t="s">
        <v>11</v>
      </c>
      <c r="S16" s="1" t="s">
        <v>12</v>
      </c>
      <c r="T16" s="1" t="s">
        <v>13</v>
      </c>
    </row>
    <row r="17" spans="2:20" ht="11.25">
      <c r="B17" s="3" t="str">
        <f>Fixtures!G18</f>
        <v>Serbia</v>
      </c>
      <c r="C17" s="1">
        <f>IF(Fixtures!J18="","",Fixtures!J18)</f>
      </c>
      <c r="D17" s="1">
        <f>IF(Fixtures!K18="","",Fixtures!K18)</f>
      </c>
      <c r="E17" s="1">
        <f>IF(C17="","",IF(D17="","",IF(C17&gt;D17,"W",IF(C17=D17,"D",IF(C17&lt;D17,"L","")))))</f>
      </c>
      <c r="F17" s="1">
        <f>IF(Fixtures!K20="","",Fixtures!K20)</f>
      </c>
      <c r="G17" s="1">
        <f>IF(Fixtures!J20="","",Fixtures!J20)</f>
      </c>
      <c r="H17" s="1">
        <f>IF(F17="","",IF(G17="","",IF(F17&gt;G17,"W",IF(F17=G17,"D",IF(F17&lt;G17,"L","")))))</f>
      </c>
      <c r="I17" s="1">
        <f>IF(Fixtures!K22="","",Fixtures!K22)</f>
      </c>
      <c r="J17" s="1">
        <f>IF(Fixtures!J22="","",Fixtures!J22)</f>
      </c>
      <c r="K17" s="1">
        <f>IF(I17="","",IF(J17="","",IF(I17&gt;J17,"W",IF(I17=J17,"D",IF(I17&lt;J17,"L","")))))</f>
      </c>
      <c r="M17" s="1">
        <f>SUM(N17)+SUM(O17)+SUM(P17)</f>
        <v>0</v>
      </c>
      <c r="N17" s="1">
        <f>IF(E17="W",1,0)+IF(H17="W",1,0)+IF(K17="W",1,0)</f>
        <v>0</v>
      </c>
      <c r="O17" s="1">
        <f>IF(E17="D",1,0)+IF(H17="D",1,0)+IF(K17="D",1,0)</f>
        <v>0</v>
      </c>
      <c r="P17" s="1">
        <f>IF(E17="L",1,0)+IF(H17="L",1,0)+IF(K17="L",1,0)</f>
        <v>0</v>
      </c>
      <c r="Q17" s="1">
        <f>SUM(C17)+SUM(F17)+SUM(I17)</f>
        <v>0</v>
      </c>
      <c r="R17" s="1">
        <f>SUM(D17)+SUM(G17)+SUM(J17)</f>
        <v>0</v>
      </c>
      <c r="S17" s="1">
        <f>Q17-R17</f>
        <v>0</v>
      </c>
      <c r="T17" s="1">
        <f>SUM(N17*3)+SUM(O17)</f>
        <v>0</v>
      </c>
    </row>
    <row r="18" spans="2:20" ht="11.25">
      <c r="B18" s="3" t="str">
        <f>Fixtures!I18</f>
        <v>England</v>
      </c>
      <c r="C18" s="4"/>
      <c r="D18" s="4"/>
      <c r="E18" s="4"/>
      <c r="F18" s="1">
        <f>IF(Fixtures!J21="","",Fixtures!J21)</f>
      </c>
      <c r="G18" s="1">
        <f>IF(Fixtures!K21="","",Fixtures!K21)</f>
      </c>
      <c r="H18" s="1">
        <f>IF(F18="","",IF(G18="","",IF(F18&gt;G18,"W",IF(F18=G18,"D",IF(F18&lt;G18,"L","")))))</f>
      </c>
      <c r="I18" s="1">
        <f>IF(Fixtures!K19="","",Fixtures!K19)</f>
      </c>
      <c r="J18" s="1">
        <f>IF(Fixtures!J19="","",Fixtures!J19)</f>
      </c>
      <c r="K18" s="1">
        <f>IF(I18="","",IF(J18="","",IF(I18&gt;J18,"W",IF(I18=J18,"D",IF(I18&lt;J18,"L","")))))</f>
      </c>
      <c r="M18" s="1">
        <f>SUM(N18)+SUM(O18)+SUM(P18)</f>
        <v>0</v>
      </c>
      <c r="N18" s="1">
        <f>IF(E17="L",1,0)+IF(H18="W",1,0)+IF(K18="W",1,0)</f>
        <v>0</v>
      </c>
      <c r="O18" s="1">
        <f>IF(E17="D",1,0)+IF(H18="D",1,0)+IF(K18="D",1,0)</f>
        <v>0</v>
      </c>
      <c r="P18" s="1">
        <f>IF(E17="W",1,0)+IF(H18="L",1,0)+IF(K18="L",1,0)</f>
        <v>0</v>
      </c>
      <c r="Q18" s="1">
        <f>SUM(D17)+SUM(F18)+SUM(I18)</f>
        <v>0</v>
      </c>
      <c r="R18" s="1">
        <f>SUM(C17)+SUM(G18)+SUM(J18)</f>
        <v>0</v>
      </c>
      <c r="S18" s="1">
        <f>Q18-R18</f>
        <v>0</v>
      </c>
      <c r="T18" s="1">
        <f>SUM(N18*3)+SUM(O18)</f>
        <v>0</v>
      </c>
    </row>
    <row r="19" spans="2:20" ht="11.25">
      <c r="B19" s="3" t="str">
        <f>Fixtures!G17</f>
        <v>Slovenia</v>
      </c>
      <c r="C19" s="182"/>
      <c r="D19" s="182"/>
      <c r="E19" s="4"/>
      <c r="F19" s="4"/>
      <c r="G19" s="4"/>
      <c r="H19" s="4"/>
      <c r="I19" s="1">
        <f>IF(Fixtures!J17="","",Fixtures!J17)</f>
      </c>
      <c r="J19" s="1">
        <f>IF(Fixtures!K17="","",Fixtures!K17)</f>
      </c>
      <c r="K19" s="1">
        <f>IF(I19="","",IF(J19="","",IF(I19&gt;J19,"W",IF(I19=J19,"D",IF(I19&lt;J19,"L","")))))</f>
      </c>
      <c r="M19" s="1">
        <f>SUM(N19)+SUM(O19)+SUM(P19)</f>
        <v>0</v>
      </c>
      <c r="N19" s="1">
        <f>IF(H17="L",1,0)+IF(H18="L",1,0)+IF(K19="W",1,0)</f>
        <v>0</v>
      </c>
      <c r="O19" s="1">
        <f>IF(H17="D",1,0)+IF(H18="D",1,0)+IF(K19="D",1,0)</f>
        <v>0</v>
      </c>
      <c r="P19" s="1">
        <f>IF(H17="W",1,0)+IF(H18="W",1,0)+IF(K19="L",1,0)</f>
        <v>0</v>
      </c>
      <c r="Q19" s="1">
        <f>SUM(G17)+SUM(G18)+SUM(I19)</f>
        <v>0</v>
      </c>
      <c r="R19" s="1">
        <f>SUM(F17)+SUM(F18)+SUM(J19)</f>
        <v>0</v>
      </c>
      <c r="S19" s="1">
        <f>Q19-R19</f>
        <v>0</v>
      </c>
      <c r="T19" s="1">
        <f>SUM(N19*3)+SUM(O19)</f>
        <v>0</v>
      </c>
    </row>
    <row r="20" spans="2:20" ht="11.25">
      <c r="B20" s="3" t="str">
        <f>Fixtures!I17</f>
        <v>Denmark</v>
      </c>
      <c r="C20" s="182"/>
      <c r="D20" s="182"/>
      <c r="E20" s="4"/>
      <c r="F20" s="4"/>
      <c r="G20" s="4"/>
      <c r="H20" s="4"/>
      <c r="I20" s="4"/>
      <c r="J20" s="4"/>
      <c r="K20" s="4"/>
      <c r="M20" s="1">
        <f>SUM(N20)+SUM(O20)+SUM(P20)</f>
        <v>0</v>
      </c>
      <c r="N20" s="1">
        <f>IF(K17="L",1,0)+IF(K18="L",1,0)+IF(K19="L",1,0)</f>
        <v>0</v>
      </c>
      <c r="O20" s="1">
        <f>IF(K17="D",1,0)+IF(K18="D",1,0)+IF(K19="D",1,0)</f>
        <v>0</v>
      </c>
      <c r="P20" s="1">
        <f>IF(K17="W",1,0)+IF(K18="W",1,0)+IF(K19="W",1,0)</f>
        <v>0</v>
      </c>
      <c r="Q20" s="1">
        <f>SUM(J17)+SUM(J18)+SUM(J19)</f>
        <v>0</v>
      </c>
      <c r="R20" s="1">
        <f>SUM(I17)+SUM(I18)+SUM(I19)</f>
        <v>0</v>
      </c>
      <c r="S20" s="1">
        <f>Q20-R20</f>
        <v>0</v>
      </c>
      <c r="T20" s="1">
        <f>SUM(N20*3)+SUM(O20)</f>
        <v>0</v>
      </c>
    </row>
    <row r="21" ht="11.25">
      <c r="M21" s="3" t="str">
        <f>IF(SUM(M17:M20)=12,"Final Table","Incomplete")</f>
        <v>Incomplete</v>
      </c>
    </row>
    <row r="23" spans="2:20" ht="11.25">
      <c r="B23" s="3" t="str">
        <f>M28</f>
        <v>Incomplete</v>
      </c>
      <c r="D23" s="2" t="str">
        <f>B25</f>
        <v>Austria</v>
      </c>
      <c r="G23" s="2" t="str">
        <f>B26</f>
        <v>Netherlands</v>
      </c>
      <c r="J23" s="2" t="str">
        <f>B27</f>
        <v>France</v>
      </c>
      <c r="M23" s="1" t="s">
        <v>6</v>
      </c>
      <c r="N23" s="1" t="s">
        <v>7</v>
      </c>
      <c r="O23" s="1" t="s">
        <v>8</v>
      </c>
      <c r="P23" s="1" t="s">
        <v>9</v>
      </c>
      <c r="Q23" s="1" t="s">
        <v>10</v>
      </c>
      <c r="R23" s="1" t="s">
        <v>11</v>
      </c>
      <c r="S23" s="1" t="s">
        <v>12</v>
      </c>
      <c r="T23" s="1" t="s">
        <v>13</v>
      </c>
    </row>
    <row r="24" spans="2:20" ht="11.25">
      <c r="B24" s="3" t="str">
        <f>Fixtures!G24</f>
        <v>Poland</v>
      </c>
      <c r="C24" s="1">
        <f>IF(Fixtures!J27="","",Fixtures!J27)</f>
      </c>
      <c r="D24" s="1">
        <f>IF(Fixtures!K27="","",Fixtures!K27)</f>
      </c>
      <c r="E24" s="1">
        <f>IF(C24="","",IF(D24="","",IF(C24&gt;D24,"W",IF(C24=D24,"D",IF(C24&lt;D24,"L","")))))</f>
      </c>
      <c r="F24" s="1">
        <f>IF(Fixtures!J24="","",Fixtures!J24)</f>
      </c>
      <c r="G24" s="1">
        <f>IF(Fixtures!K24="","",Fixtures!K24)</f>
      </c>
      <c r="H24" s="1">
        <f>IF(F24="","",IF(G24="","",IF(F24&gt;G24,"W",IF(F24=G24,"D",IF(F24&lt;G24,"L","")))))</f>
      </c>
      <c r="I24" s="1">
        <f>IF(Fixtures!K28="","",Fixtures!K28)</f>
      </c>
      <c r="J24" s="1">
        <f>IF(Fixtures!J28="","",Fixtures!J28)</f>
      </c>
      <c r="K24" s="1">
        <f>IF(I24="","",IF(J24="","",IF(I24&gt;J24,"W",IF(I24=J24,"D",IF(I24&lt;J24,"L","")))))</f>
      </c>
      <c r="M24" s="1">
        <f>SUM(N24)+SUM(O24)+SUM(P24)</f>
        <v>0</v>
      </c>
      <c r="N24" s="1">
        <f>IF(E24="W",1,0)+IF(H24="W",1,0)+IF(K24="W",1,0)</f>
        <v>0</v>
      </c>
      <c r="O24" s="1">
        <f>IF(E24="D",1,0)+IF(H24="D",1,0)+IF(K24="D",1,0)</f>
        <v>0</v>
      </c>
      <c r="P24" s="1">
        <f>IF(E24="L",1,0)+IF(H24="L",1,0)+IF(K24="L",1,0)</f>
        <v>0</v>
      </c>
      <c r="Q24" s="1">
        <f>SUM(C24)+SUM(F24)+SUM(I24)</f>
        <v>0</v>
      </c>
      <c r="R24" s="1">
        <f>SUM(D24)+SUM(G24)+SUM(J24)</f>
        <v>0</v>
      </c>
      <c r="S24" s="1">
        <f>Q24-R24</f>
        <v>0</v>
      </c>
      <c r="T24" s="1">
        <f>SUM(N24*3)+SUM(O24)</f>
        <v>0</v>
      </c>
    </row>
    <row r="25" spans="2:20" ht="11.25">
      <c r="B25" s="3" t="str">
        <f>Fixtures!G25</f>
        <v>Austria</v>
      </c>
      <c r="C25" s="4"/>
      <c r="D25" s="4"/>
      <c r="E25" s="4"/>
      <c r="F25" s="1">
        <f>IF(Fixtures!K29="","",Fixtures!K29)</f>
      </c>
      <c r="G25" s="1">
        <f>IF(Fixtures!J29="","",Fixtures!J29)</f>
      </c>
      <c r="H25" s="1">
        <f>IF(F25="","",IF(G25="","",IF(F25&gt;G25,"W",IF(F25=G25,"D",IF(F25&lt;G25,"L","")))))</f>
      </c>
      <c r="I25" s="1">
        <f>IF(Fixtures!J25="","",Fixtures!J25)</f>
      </c>
      <c r="J25" s="1">
        <f>IF(Fixtures!K25="","",Fixtures!K25)</f>
      </c>
      <c r="K25" s="1">
        <f>IF(I25="","",IF(J25="","",IF(I25&gt;J25,"W",IF(I25=J25,"D",IF(I25&lt;J25,"L","")))))</f>
      </c>
      <c r="M25" s="1">
        <f>SUM(N25)+SUM(O25)+SUM(P25)</f>
        <v>0</v>
      </c>
      <c r="N25" s="1">
        <f>IF(E24="L",1,0)+IF(H25="W",1,0)+IF(K25="W",1,0)</f>
        <v>0</v>
      </c>
      <c r="O25" s="1">
        <f>IF(E24="D",1,0)+IF(H25="D",1,0)+IF(K25="D",1,0)</f>
        <v>0</v>
      </c>
      <c r="P25" s="1">
        <f>IF(E24="W",1,0)+IF(H25="L",1,0)+IF(K25="L",1,0)</f>
        <v>0</v>
      </c>
      <c r="Q25" s="1">
        <f>SUM(D24)+SUM(F25)+SUM(I25)</f>
        <v>0</v>
      </c>
      <c r="R25" s="1">
        <f>SUM(C24)+SUM(G25)+SUM(J25)</f>
        <v>0</v>
      </c>
      <c r="S25" s="1">
        <f>Q25-R25</f>
        <v>0</v>
      </c>
      <c r="T25" s="1">
        <f>SUM(N25*3)+SUM(O25)</f>
        <v>0</v>
      </c>
    </row>
    <row r="26" spans="2:20" ht="11.25">
      <c r="B26" s="3" t="str">
        <f>Fixtures!I24</f>
        <v>Netherlands</v>
      </c>
      <c r="C26" s="182"/>
      <c r="D26" s="182"/>
      <c r="E26" s="4"/>
      <c r="F26" s="4"/>
      <c r="G26" s="4"/>
      <c r="H26" s="4"/>
      <c r="I26" s="1">
        <f>IF(Fixtures!J26="","",Fixtures!J26)</f>
      </c>
      <c r="J26" s="1">
        <f>IF(Fixtures!K26="","",Fixtures!K26)</f>
      </c>
      <c r="K26" s="1">
        <f>IF(I26="","",IF(J26="","",IF(I26&gt;J26,"W",IF(I26=J26,"D",IF(I26&lt;J26,"L","")))))</f>
      </c>
      <c r="M26" s="1">
        <f>SUM(N26)+SUM(O26)+SUM(P26)</f>
        <v>0</v>
      </c>
      <c r="N26" s="1">
        <f>IF(H24="L",1,0)+IF(H25="L",1,0)+IF(K26="W",1,0)</f>
        <v>0</v>
      </c>
      <c r="O26" s="1">
        <f>IF(H24="D",1,0)+IF(H25="D",1,0)+IF(K26="D",1,0)</f>
        <v>0</v>
      </c>
      <c r="P26" s="1">
        <f>IF(H24="W",1,0)+IF(H25="W",1,0)+IF(K26="L",1,0)</f>
        <v>0</v>
      </c>
      <c r="Q26" s="1">
        <f>SUM(G24)+SUM(G25)+SUM(I26)</f>
        <v>0</v>
      </c>
      <c r="R26" s="1">
        <f>SUM(F24)+SUM(F25)+SUM(J26)</f>
        <v>0</v>
      </c>
      <c r="S26" s="1">
        <f>Q26-R26</f>
        <v>0</v>
      </c>
      <c r="T26" s="1">
        <f>SUM(N26*3)+SUM(O26)</f>
        <v>0</v>
      </c>
    </row>
    <row r="27" spans="2:20" ht="11.25">
      <c r="B27" s="3" t="str">
        <f>Fixtures!I25</f>
        <v>France</v>
      </c>
      <c r="C27" s="4"/>
      <c r="D27" s="4"/>
      <c r="E27" s="4"/>
      <c r="F27" s="4"/>
      <c r="G27" s="4"/>
      <c r="H27" s="4"/>
      <c r="I27" s="4"/>
      <c r="J27" s="4"/>
      <c r="K27" s="4"/>
      <c r="M27" s="1">
        <f>SUM(N27)+SUM(O27)+SUM(P27)</f>
        <v>0</v>
      </c>
      <c r="N27" s="1">
        <f>IF(K24="L",1,0)+IF(K25="L",1,0)+IF(K26="L",1,0)</f>
        <v>0</v>
      </c>
      <c r="O27" s="1">
        <f>IF(K24="D",1,0)+IF(K25="D",1,0)+IF(K26="D",1,0)</f>
        <v>0</v>
      </c>
      <c r="P27" s="1">
        <f>IF(K24="W",1,0)+IF(K25="W",1,0)+IF(K26="W",1,0)</f>
        <v>0</v>
      </c>
      <c r="Q27" s="1">
        <f>SUM(J24)+SUM(J25)+SUM(J26)</f>
        <v>0</v>
      </c>
      <c r="R27" s="1">
        <f>SUM(I24)+SUM(I25)+SUM(I26)</f>
        <v>0</v>
      </c>
      <c r="S27" s="1">
        <f>Q27-R27</f>
        <v>0</v>
      </c>
      <c r="T27" s="1">
        <f>SUM(N27*3)+SUM(O27)</f>
        <v>0</v>
      </c>
    </row>
    <row r="28" ht="11.25">
      <c r="M28" s="3" t="str">
        <f>IF(SUM(M24:M27)=12,"Final Table","Incomplete")</f>
        <v>Incomplete</v>
      </c>
    </row>
    <row r="30" spans="2:20" ht="11.25">
      <c r="B30" s="3" t="str">
        <f>M35</f>
        <v>Incomplete</v>
      </c>
      <c r="D30" s="2" t="str">
        <f>B32</f>
        <v>Belgium</v>
      </c>
      <c r="G30" s="2" t="str">
        <f>B33</f>
        <v>Ukraine</v>
      </c>
      <c r="J30" s="2" t="str">
        <f>B34</f>
        <v>Slovakia</v>
      </c>
      <c r="M30" s="1" t="s">
        <v>6</v>
      </c>
      <c r="N30" s="1" t="s">
        <v>7</v>
      </c>
      <c r="O30" s="1" t="s">
        <v>8</v>
      </c>
      <c r="P30" s="1" t="s">
        <v>9</v>
      </c>
      <c r="Q30" s="1" t="s">
        <v>10</v>
      </c>
      <c r="R30" s="1" t="s">
        <v>11</v>
      </c>
      <c r="S30" s="1" t="s">
        <v>12</v>
      </c>
      <c r="T30" s="1" t="s">
        <v>13</v>
      </c>
    </row>
    <row r="31" spans="2:20" ht="11.25">
      <c r="B31" s="3" t="str">
        <f>Fixtures!G31</f>
        <v>Romania</v>
      </c>
      <c r="C31" s="1">
        <f>IF(Fixtures!K34="","",Fixtures!K34)</f>
      </c>
      <c r="D31" s="1">
        <f>IF(Fixtures!J34="","",Fixtures!J34)</f>
      </c>
      <c r="E31" s="1">
        <f>IF(C31="","",IF(D31="","",IF(C31&gt;D31,"W",IF(C31=D31,"D",IF(C31&lt;D31,"L","")))))</f>
      </c>
      <c r="F31" s="1">
        <f>IF(Fixtures!J31="","",Fixtures!J31)</f>
      </c>
      <c r="G31" s="1">
        <f>IF(Fixtures!K31="","",Fixtures!K31)</f>
      </c>
      <c r="H31" s="1">
        <f>IF(F31="","",IF(G31="","",IF(F31&gt;G31,"W",IF(F31=G31,"D",IF(F31&lt;G31,"L","")))))</f>
      </c>
      <c r="I31" s="1">
        <f>IF(Fixtures!K35="","",Fixtures!K35)</f>
      </c>
      <c r="J31" s="1">
        <f>IF(Fixtures!J35="","",Fixtures!J35)</f>
      </c>
      <c r="K31" s="1">
        <f>IF(I31="","",IF(J31="","",IF(I31&gt;J31,"W",IF(I31=J31,"D",IF(I31&lt;J31,"L","")))))</f>
      </c>
      <c r="M31" s="1">
        <f>SUM(N31)+SUM(O31)+SUM(P31)</f>
        <v>0</v>
      </c>
      <c r="N31" s="1">
        <f>IF(E31="W",1,0)+IF(H31="W",1,0)+IF(K31="W",1,0)</f>
        <v>0</v>
      </c>
      <c r="O31" s="1">
        <f>IF(E31="D",1,0)+IF(H31="D",1,0)+IF(K31="D",1,0)</f>
        <v>0</v>
      </c>
      <c r="P31" s="1">
        <f>IF(E31="L",1,0)+IF(H31="L",1,0)+IF(K31="L",1,0)</f>
        <v>0</v>
      </c>
      <c r="Q31" s="1">
        <f>SUM(C31)+SUM(F31)+SUM(I31)</f>
        <v>0</v>
      </c>
      <c r="R31" s="1">
        <f>SUM(D31)+SUM(G31)+SUM(J31)</f>
        <v>0</v>
      </c>
      <c r="S31" s="1">
        <f>Q31-R31</f>
        <v>0</v>
      </c>
      <c r="T31" s="1">
        <f>SUM(N31*3)+SUM(O31)</f>
        <v>0</v>
      </c>
    </row>
    <row r="32" spans="2:20" ht="11.25">
      <c r="B32" s="3" t="str">
        <f>Fixtures!G32</f>
        <v>Belgium</v>
      </c>
      <c r="C32" s="4"/>
      <c r="D32" s="4"/>
      <c r="E32" s="4"/>
      <c r="F32" s="1">
        <f>IF(Fixtures!K36="","",Fixtures!K36)</f>
      </c>
      <c r="G32" s="1">
        <f>IF(Fixtures!J36="","",Fixtures!J36)</f>
      </c>
      <c r="H32" s="1">
        <f>IF(F32="","",IF(G32="","",IF(F32&gt;G32,"W",IF(F32=G32,"D",IF(F32&lt;G32,"L","")))))</f>
      </c>
      <c r="I32" s="1">
        <f>IF(Fixtures!J32="","",Fixtures!J32)</f>
      </c>
      <c r="J32" s="1">
        <f>IF(Fixtures!K32="","",Fixtures!K32)</f>
      </c>
      <c r="K32" s="1">
        <f>IF(I32="","",IF(J32="","",IF(I32&gt;J32,"W",IF(I32=J32,"D",IF(I32&lt;J32,"L","")))))</f>
      </c>
      <c r="M32" s="1">
        <f>SUM(N32)+SUM(O32)+SUM(P32)</f>
        <v>0</v>
      </c>
      <c r="N32" s="1">
        <f>IF(E31="L",1,0)+IF(H32="W",1,0)+IF(K32="W",1,0)</f>
        <v>0</v>
      </c>
      <c r="O32" s="1">
        <f>IF(E31="D",1,0)+IF(H32="D",1,0)+IF(K32="D",1,0)</f>
        <v>0</v>
      </c>
      <c r="P32" s="1">
        <f>IF(E31="W",1,0)+IF(H32="L",1,0)+IF(K32="L",1,0)</f>
        <v>0</v>
      </c>
      <c r="Q32" s="1">
        <f>SUM(D31)+SUM(F32)+SUM(I32)</f>
        <v>0</v>
      </c>
      <c r="R32" s="1">
        <f>SUM(C31)+SUM(G32)+SUM(J32)</f>
        <v>0</v>
      </c>
      <c r="S32" s="1">
        <f>Q32-R32</f>
        <v>0</v>
      </c>
      <c r="T32" s="1">
        <f>SUM(N32*3)+SUM(O32)</f>
        <v>0</v>
      </c>
    </row>
    <row r="33" spans="2:20" ht="11.25">
      <c r="B33" s="3" t="str">
        <f>Fixtures!I31</f>
        <v>Ukraine</v>
      </c>
      <c r="C33" s="182"/>
      <c r="D33" s="182"/>
      <c r="E33" s="4"/>
      <c r="F33" s="4"/>
      <c r="G33" s="4"/>
      <c r="H33" s="4"/>
      <c r="I33" s="1">
        <f>IF(Fixtures!K33="","",Fixtures!K33)</f>
      </c>
      <c r="J33" s="1">
        <f>IF(Fixtures!J33="","",Fixtures!J33)</f>
      </c>
      <c r="K33" s="1">
        <f>IF(I33="","",IF(J33="","",IF(I33&gt;J33,"W",IF(I33=J33,"D",IF(I33&lt;J33,"L","")))))</f>
      </c>
      <c r="M33" s="1">
        <f>SUM(N33)+SUM(O33)+SUM(P33)</f>
        <v>0</v>
      </c>
      <c r="N33" s="1">
        <f>IF(H31="L",1,0)+IF(H32="L",1,0)+IF(K33="W",1,0)</f>
        <v>0</v>
      </c>
      <c r="O33" s="1">
        <f>IF(H31="D",1,0)+IF(H32="D",1,0)+IF(K33="D",1,0)</f>
        <v>0</v>
      </c>
      <c r="P33" s="1">
        <f>IF(H31="W",1,0)+IF(H32="W",1,0)+IF(K33="L",1,0)</f>
        <v>0</v>
      </c>
      <c r="Q33" s="1">
        <f>SUM(G31)+SUM(G32)+SUM(I33)</f>
        <v>0</v>
      </c>
      <c r="R33" s="1">
        <f>SUM(F31)+SUM(F32)+SUM(J33)</f>
        <v>0</v>
      </c>
      <c r="S33" s="1">
        <f>Q33-R33</f>
        <v>0</v>
      </c>
      <c r="T33" s="1">
        <f>SUM(N33*3)+SUM(O33)</f>
        <v>0</v>
      </c>
    </row>
    <row r="34" spans="2:20" ht="11.25">
      <c r="B34" s="3" t="str">
        <f>Fixtures!I32</f>
        <v>Slovakia</v>
      </c>
      <c r="C34" s="4"/>
      <c r="D34" s="4"/>
      <c r="E34" s="4"/>
      <c r="F34" s="4"/>
      <c r="G34" s="4"/>
      <c r="H34" s="4"/>
      <c r="I34" s="4"/>
      <c r="J34" s="4"/>
      <c r="K34" s="4"/>
      <c r="M34" s="1">
        <f>SUM(N34)+SUM(O34)+SUM(P34)</f>
        <v>0</v>
      </c>
      <c r="N34" s="1">
        <f>IF(K31="L",1,0)+IF(K32="L",1,0)+IF(K33="L",1,0)</f>
        <v>0</v>
      </c>
      <c r="O34" s="1">
        <f>IF(K31="D",1,0)+IF(K32="D",1,0)+IF(K33="D",1,0)</f>
        <v>0</v>
      </c>
      <c r="P34" s="1">
        <f>IF(K31="W",1,0)+IF(K32="W",1,0)+IF(K33="W",1,0)</f>
        <v>0</v>
      </c>
      <c r="Q34" s="1">
        <f>SUM(J31)+SUM(J32)+SUM(J33)</f>
        <v>0</v>
      </c>
      <c r="R34" s="1">
        <f>SUM(I31)+SUM(I32)+SUM(I33)</f>
        <v>0</v>
      </c>
      <c r="S34" s="1">
        <f>Q34-R34</f>
        <v>0</v>
      </c>
      <c r="T34" s="1">
        <f>SUM(N34*3)+SUM(O34)</f>
        <v>0</v>
      </c>
    </row>
    <row r="35" ht="11.25">
      <c r="M35" s="3" t="str">
        <f>IF(SUM(M31:M34)=12,"Final Table","Incomplete")</f>
        <v>Incomplete</v>
      </c>
    </row>
    <row r="37" spans="2:20" ht="11.25">
      <c r="B37" s="3" t="str">
        <f>M42</f>
        <v>Incomplete</v>
      </c>
      <c r="D37" s="2" t="str">
        <f>B39</f>
        <v>Portugal</v>
      </c>
      <c r="G37" s="2" t="str">
        <f>B40</f>
        <v>Georgia</v>
      </c>
      <c r="J37" s="2" t="str">
        <f>B41</f>
        <v>Czechia</v>
      </c>
      <c r="M37" s="1" t="s">
        <v>6</v>
      </c>
      <c r="N37" s="1" t="s">
        <v>7</v>
      </c>
      <c r="O37" s="1" t="s">
        <v>8</v>
      </c>
      <c r="P37" s="1" t="s">
        <v>9</v>
      </c>
      <c r="Q37" s="1" t="s">
        <v>10</v>
      </c>
      <c r="R37" s="1" t="s">
        <v>11</v>
      </c>
      <c r="S37" s="1" t="s">
        <v>12</v>
      </c>
      <c r="T37" s="1" t="s">
        <v>13</v>
      </c>
    </row>
    <row r="38" spans="2:20" ht="11.25">
      <c r="B38" s="3" t="str">
        <f>Fixtures!G38</f>
        <v>Türkiye</v>
      </c>
      <c r="C38" s="1">
        <f>IF(Fixtures!J40="","",Fixtures!J40)</f>
      </c>
      <c r="D38" s="1">
        <f>IF(Fixtures!K40="","",Fixtures!K40)</f>
      </c>
      <c r="E38" s="1">
        <f>IF(C38="","",IF(D38="","",IF(C38&gt;D38,"W",IF(C38=D38,"D",IF(C38&lt;D38,"L","")))))</f>
      </c>
      <c r="F38" s="1">
        <f>IF(Fixtures!J38="","",Fixtures!J38)</f>
      </c>
      <c r="G38" s="1">
        <f>IF(Fixtures!K38="","",Fixtures!K38)</f>
      </c>
      <c r="H38" s="1">
        <f>IF(F38="","",IF(G38="","",IF(F38&gt;G38,"W",IF(F38=G38,"D",IF(F38&lt;G38,"L","")))))</f>
      </c>
      <c r="I38" s="1">
        <f>IF(Fixtures!K42="","",Fixtures!K42)</f>
      </c>
      <c r="J38" s="1">
        <f>IF(Fixtures!J42="","",Fixtures!J42)</f>
      </c>
      <c r="K38" s="1">
        <f>IF(I38="","",IF(J38="","",IF(I38&gt;J38,"W",IF(I38=J38,"D",IF(I38&lt;J38,"L","")))))</f>
      </c>
      <c r="M38" s="1">
        <f>SUM(N38)+SUM(O38)+SUM(P38)</f>
        <v>0</v>
      </c>
      <c r="N38" s="1">
        <f>IF(E38="W",1,0)+IF(H38="W",1,0)+IF(K38="W",1,0)</f>
        <v>0</v>
      </c>
      <c r="O38" s="1">
        <f>IF(E38="D",1,0)+IF(H38="D",1,0)+IF(K38="D",1,0)</f>
        <v>0</v>
      </c>
      <c r="P38" s="1">
        <f>IF(E38="L",1,0)+IF(H38="L",1,0)+IF(K38="L",1,0)</f>
        <v>0</v>
      </c>
      <c r="Q38" s="1">
        <f>SUM(C38)+SUM(F38)+SUM(I38)</f>
        <v>0</v>
      </c>
      <c r="R38" s="1">
        <f>SUM(D38)+SUM(G38)+SUM(J38)</f>
        <v>0</v>
      </c>
      <c r="S38" s="1">
        <f>Q38-R38</f>
        <v>0</v>
      </c>
      <c r="T38" s="1">
        <f>SUM(N38*3)+SUM(O38)</f>
        <v>0</v>
      </c>
    </row>
    <row r="39" spans="2:20" ht="11.25">
      <c r="B39" s="3" t="str">
        <f>Fixtures!G39</f>
        <v>Portugal</v>
      </c>
      <c r="C39" s="4"/>
      <c r="D39" s="4"/>
      <c r="E39" s="4"/>
      <c r="F39" s="1">
        <f>IF(Fixtures!K43="","",Fixtures!K43)</f>
      </c>
      <c r="G39" s="1">
        <f>IF(Fixtures!J43="","",Fixtures!J43)</f>
      </c>
      <c r="H39" s="1">
        <f>IF(F39="","",IF(G39="","",IF(F39&gt;G39,"W",IF(F39=G39,"D",IF(F39&lt;G39,"L","")))))</f>
      </c>
      <c r="I39" s="1">
        <f>IF(Fixtures!J39="","",Fixtures!J39)</f>
      </c>
      <c r="J39" s="1">
        <f>IF(Fixtures!K39="","",Fixtures!K39)</f>
      </c>
      <c r="K39" s="1">
        <f>IF(I39="","",IF(J39="","",IF(I39&gt;J39,"W",IF(I39=J39,"D",IF(I39&lt;J39,"L","")))))</f>
      </c>
      <c r="M39" s="1">
        <f>SUM(N39)+SUM(O39)+SUM(P39)</f>
        <v>0</v>
      </c>
      <c r="N39" s="1">
        <f>IF(E38="L",1,0)+IF(H39="W",1,0)+IF(K39="W",1,0)</f>
        <v>0</v>
      </c>
      <c r="O39" s="1">
        <f>IF(E38="D",1,0)+IF(H39="D",1,0)+IF(K39="D",1,0)</f>
        <v>0</v>
      </c>
      <c r="P39" s="1">
        <f>IF(E38="W",1,0)+IF(H39="L",1,0)+IF(K39="L",1,0)</f>
        <v>0</v>
      </c>
      <c r="Q39" s="1">
        <f>SUM(D38)+SUM(F39)+SUM(I39)</f>
        <v>0</v>
      </c>
      <c r="R39" s="1">
        <f>SUM(C38)+SUM(G39)+SUM(J39)</f>
        <v>0</v>
      </c>
      <c r="S39" s="1">
        <f>Q39-R39</f>
        <v>0</v>
      </c>
      <c r="T39" s="1">
        <f>SUM(N39*3)+SUM(O39)</f>
        <v>0</v>
      </c>
    </row>
    <row r="40" spans="2:20" ht="11.25">
      <c r="B40" s="3" t="str">
        <f>Fixtures!I38</f>
        <v>Georgia</v>
      </c>
      <c r="C40" s="4"/>
      <c r="D40" s="4"/>
      <c r="E40" s="4"/>
      <c r="F40" s="4"/>
      <c r="G40" s="4"/>
      <c r="H40" s="4"/>
      <c r="I40" s="1">
        <f>IF(Fixtures!J41="","",Fixtures!J41)</f>
      </c>
      <c r="J40" s="1">
        <f>IF(Fixtures!K41="","",Fixtures!K41)</f>
      </c>
      <c r="K40" s="1">
        <f>IF(I40="","",IF(J40="","",IF(I40&gt;J40,"W",IF(I40=J40,"D",IF(I40&lt;J40,"L","")))))</f>
      </c>
      <c r="M40" s="1">
        <f>SUM(N40)+SUM(O40)+SUM(P40)</f>
        <v>0</v>
      </c>
      <c r="N40" s="1">
        <f>IF(H38="L",1,0)+IF(H39="L",1,0)+IF(K40="W",1,0)</f>
        <v>0</v>
      </c>
      <c r="O40" s="1">
        <f>IF(H38="D",1,0)+IF(H39="D",1,0)+IF(K40="D",1,0)</f>
        <v>0</v>
      </c>
      <c r="P40" s="1">
        <f>IF(H38="W",1,0)+IF(H39="W",1,0)+IF(K40="L",1,0)</f>
        <v>0</v>
      </c>
      <c r="Q40" s="1">
        <f>SUM(G38)+SUM(G39)+SUM(I40)</f>
        <v>0</v>
      </c>
      <c r="R40" s="1">
        <f>SUM(F38)+SUM(F39)+SUM(J40)</f>
        <v>0</v>
      </c>
      <c r="S40" s="1">
        <f>Q40-R40</f>
        <v>0</v>
      </c>
      <c r="T40" s="1">
        <f>SUM(N40*3)+SUM(O40)</f>
        <v>0</v>
      </c>
    </row>
    <row r="41" spans="2:20" ht="11.25">
      <c r="B41" s="3" t="str">
        <f>Fixtures!I39</f>
        <v>Czechia</v>
      </c>
      <c r="C41" s="4"/>
      <c r="D41" s="4"/>
      <c r="E41" s="4"/>
      <c r="F41" s="4"/>
      <c r="G41" s="4"/>
      <c r="H41" s="4"/>
      <c r="I41" s="4"/>
      <c r="J41" s="4"/>
      <c r="K41" s="4"/>
      <c r="M41" s="1">
        <f>SUM(N41)+SUM(O41)+SUM(P41)</f>
        <v>0</v>
      </c>
      <c r="N41" s="1">
        <f>IF(K38="L",1,0)+IF(K39="L",1,0)+IF(K40="L",1,0)</f>
        <v>0</v>
      </c>
      <c r="O41" s="1">
        <f>IF(K38="D",1,0)+IF(K39="D",1,0)+IF(K40="D",1,0)</f>
        <v>0</v>
      </c>
      <c r="P41" s="1">
        <f>IF(K38="W",1,0)+IF(K39="W",1,0)+IF(K40="W",1,0)</f>
        <v>0</v>
      </c>
      <c r="Q41" s="1">
        <f>SUM(J38)+SUM(J39)+SUM(J40)</f>
        <v>0</v>
      </c>
      <c r="R41" s="1">
        <f>SUM(I38)+SUM(I39)+SUM(I40)</f>
        <v>0</v>
      </c>
      <c r="S41" s="1">
        <f>Q41-R41</f>
        <v>0</v>
      </c>
      <c r="T41" s="1">
        <f>SUM(N41*3)+SUM(O41)</f>
        <v>0</v>
      </c>
    </row>
    <row r="42" ht="11.25">
      <c r="M42" s="3" t="str">
        <f>IF(SUM(M38:M41)=12,"Final Table","Incomplete")</f>
        <v>Incomplete</v>
      </c>
    </row>
  </sheetData>
  <sheetProtection password="D825" sheet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6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6" customWidth="1"/>
    <col min="2" max="2" width="9.140625" style="6" customWidth="1"/>
    <col min="3" max="3" width="16.7109375" style="9" customWidth="1"/>
    <col min="4" max="11" width="5.7109375" style="5" customWidth="1"/>
    <col min="12" max="12" width="8.00390625" style="6" customWidth="1"/>
    <col min="13" max="16384" width="9.140625" style="6" customWidth="1"/>
  </cols>
  <sheetData>
    <row r="1" spans="1:9" ht="34.5" customHeight="1">
      <c r="A1" s="150" t="str">
        <f>McRopod!K1</f>
        <v>V1 - 2501</v>
      </c>
      <c r="B1" s="5"/>
      <c r="C1" s="6"/>
      <c r="D1" s="6"/>
      <c r="E1" s="7"/>
      <c r="F1" s="8"/>
      <c r="G1" s="9"/>
      <c r="I1" s="6"/>
    </row>
    <row r="2" ht="5.25" customHeight="1"/>
    <row r="3" ht="5.25" customHeight="1" thickBot="1"/>
    <row r="4" spans="2:12" ht="11.25">
      <c r="B4" s="104"/>
      <c r="C4" s="105" t="str">
        <f>LaddersH!B4</f>
        <v>Incomplete</v>
      </c>
      <c r="D4" s="106" t="str">
        <f>LaddersH!C4</f>
        <v>P</v>
      </c>
      <c r="E4" s="106" t="str">
        <f>LaddersH!D4</f>
        <v>W</v>
      </c>
      <c r="F4" s="106" t="str">
        <f>LaddersH!E4</f>
        <v>D</v>
      </c>
      <c r="G4" s="106" t="str">
        <f>LaddersH!F4</f>
        <v>L</v>
      </c>
      <c r="H4" s="106" t="str">
        <f>LaddersH!G4</f>
        <v>F</v>
      </c>
      <c r="I4" s="106" t="str">
        <f>LaddersH!H4</f>
        <v>A</v>
      </c>
      <c r="J4" s="106" t="str">
        <f>LaddersH!I4</f>
        <v>GD</v>
      </c>
      <c r="K4" s="106" t="str">
        <f>LaddersH!J4</f>
        <v>Pts</v>
      </c>
      <c r="L4" s="107" t="str">
        <f>IF(L8="Swap?","Swap?","")</f>
        <v>Swap?</v>
      </c>
    </row>
    <row r="5" spans="2:12" ht="11.25">
      <c r="B5" s="140"/>
      <c r="C5" s="31" t="str">
        <f>LaddersH!B5</f>
        <v>Scotland</v>
      </c>
      <c r="D5" s="32">
        <f>LaddersH!C5</f>
        <v>0</v>
      </c>
      <c r="E5" s="32">
        <f>LaddersH!D5</f>
        <v>0</v>
      </c>
      <c r="F5" s="32">
        <f>LaddersH!E5</f>
        <v>0</v>
      </c>
      <c r="G5" s="32">
        <f>LaddersH!F5</f>
        <v>0</v>
      </c>
      <c r="H5" s="32">
        <f>LaddersH!G5</f>
        <v>0</v>
      </c>
      <c r="I5" s="32">
        <f>LaddersH!H5</f>
        <v>0</v>
      </c>
      <c r="J5" s="32">
        <f>LaddersH!I5</f>
        <v>0</v>
      </c>
      <c r="K5" s="32">
        <f>LaddersH!J5</f>
        <v>0</v>
      </c>
      <c r="L5" s="112" t="str">
        <f>LaddersH!Q5</f>
        <v>1&gt;2 ?</v>
      </c>
    </row>
    <row r="6" spans="2:12" ht="12" thickBot="1">
      <c r="B6" s="140"/>
      <c r="C6" s="33" t="str">
        <f>LaddersH!B6</f>
        <v>Germany</v>
      </c>
      <c r="D6" s="34">
        <f>LaddersH!C6</f>
        <v>0</v>
      </c>
      <c r="E6" s="34">
        <f>LaddersH!D6</f>
        <v>0</v>
      </c>
      <c r="F6" s="34">
        <f>LaddersH!E6</f>
        <v>0</v>
      </c>
      <c r="G6" s="34">
        <f>LaddersH!F6</f>
        <v>0</v>
      </c>
      <c r="H6" s="34">
        <f>LaddersH!G6</f>
        <v>0</v>
      </c>
      <c r="I6" s="34">
        <f>LaddersH!H6</f>
        <v>0</v>
      </c>
      <c r="J6" s="34">
        <f>LaddersH!I6</f>
        <v>0</v>
      </c>
      <c r="K6" s="34">
        <f>LaddersH!J6</f>
        <v>0</v>
      </c>
      <c r="L6" s="112" t="str">
        <f>LaddersH!Q6</f>
        <v>2&gt;3 ?</v>
      </c>
    </row>
    <row r="7" spans="2:12" ht="12" thickTop="1">
      <c r="B7" s="140"/>
      <c r="C7" s="31" t="str">
        <f>LaddersH!B7</f>
        <v>Hungary</v>
      </c>
      <c r="D7" s="32">
        <f>LaddersH!C7</f>
        <v>0</v>
      </c>
      <c r="E7" s="32">
        <f>LaddersH!D7</f>
        <v>0</v>
      </c>
      <c r="F7" s="32">
        <f>LaddersH!E7</f>
        <v>0</v>
      </c>
      <c r="G7" s="32">
        <f>LaddersH!F7</f>
        <v>0</v>
      </c>
      <c r="H7" s="32">
        <f>LaddersH!G7</f>
        <v>0</v>
      </c>
      <c r="I7" s="32">
        <f>LaddersH!H7</f>
        <v>0</v>
      </c>
      <c r="J7" s="32">
        <f>LaddersH!I7</f>
        <v>0</v>
      </c>
      <c r="K7" s="32">
        <f>LaddersH!J7</f>
        <v>0</v>
      </c>
      <c r="L7" s="112" t="str">
        <f>LaddersH!Q7</f>
        <v>3&gt;4 ?</v>
      </c>
    </row>
    <row r="8" spans="2:12" ht="11.25">
      <c r="B8" s="140"/>
      <c r="C8" s="83" t="str">
        <f>LaddersH!B8</f>
        <v>Switzerland</v>
      </c>
      <c r="D8" s="84">
        <f>LaddersH!C8</f>
        <v>0</v>
      </c>
      <c r="E8" s="84">
        <f>LaddersH!D8</f>
        <v>0</v>
      </c>
      <c r="F8" s="84">
        <f>LaddersH!E8</f>
        <v>0</v>
      </c>
      <c r="G8" s="84">
        <f>LaddersH!F8</f>
        <v>0</v>
      </c>
      <c r="H8" s="84">
        <f>LaddersH!G8</f>
        <v>0</v>
      </c>
      <c r="I8" s="84">
        <f>LaddersH!H8</f>
        <v>0</v>
      </c>
      <c r="J8" s="84">
        <f>LaddersH!I8</f>
        <v>0</v>
      </c>
      <c r="K8" s="84">
        <f>LaddersH!J8</f>
        <v>0</v>
      </c>
      <c r="L8" s="113" t="str">
        <f>IF(K9="",LaddersH!Q8,"")</f>
        <v>Swap?</v>
      </c>
    </row>
    <row r="9" spans="2:12" ht="12" thickBot="1">
      <c r="B9" s="108"/>
      <c r="C9" s="109"/>
      <c r="D9" s="110"/>
      <c r="E9" s="110"/>
      <c r="F9" s="110"/>
      <c r="G9" s="110"/>
      <c r="H9" s="110"/>
      <c r="I9" s="110"/>
      <c r="J9" s="110"/>
      <c r="K9" s="109">
        <f>LaddersH!M9</f>
      </c>
      <c r="L9" s="111"/>
    </row>
    <row r="10" spans="2:12" ht="5.25" customHeight="1" thickBot="1"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2:12" ht="11.25">
      <c r="B11" s="104"/>
      <c r="C11" s="105" t="str">
        <f>LaddersH!B11</f>
        <v>Incomplete</v>
      </c>
      <c r="D11" s="106" t="str">
        <f>LaddersH!C11</f>
        <v>P</v>
      </c>
      <c r="E11" s="106" t="str">
        <f>LaddersH!D11</f>
        <v>W</v>
      </c>
      <c r="F11" s="106" t="str">
        <f>LaddersH!E11</f>
        <v>D</v>
      </c>
      <c r="G11" s="106" t="str">
        <f>LaddersH!F11</f>
        <v>L</v>
      </c>
      <c r="H11" s="106" t="str">
        <f>LaddersH!G11</f>
        <v>F</v>
      </c>
      <c r="I11" s="106" t="str">
        <f>LaddersH!H11</f>
        <v>A</v>
      </c>
      <c r="J11" s="106" t="str">
        <f>LaddersH!I11</f>
        <v>GD</v>
      </c>
      <c r="K11" s="106" t="str">
        <f>LaddersH!J11</f>
        <v>Pts</v>
      </c>
      <c r="L11" s="107" t="str">
        <f>IF(L15="Swap?","Swap?","")</f>
        <v>Swap?</v>
      </c>
    </row>
    <row r="12" spans="2:12" ht="11.25">
      <c r="B12" s="140"/>
      <c r="C12" s="31" t="str">
        <f>LaddersH!B12</f>
        <v>Spain</v>
      </c>
      <c r="D12" s="32">
        <f>LaddersH!C12</f>
        <v>0</v>
      </c>
      <c r="E12" s="32">
        <f>LaddersH!D12</f>
        <v>0</v>
      </c>
      <c r="F12" s="32">
        <f>LaddersH!E12</f>
        <v>0</v>
      </c>
      <c r="G12" s="32">
        <f>LaddersH!F12</f>
        <v>0</v>
      </c>
      <c r="H12" s="32">
        <f>LaddersH!G12</f>
        <v>0</v>
      </c>
      <c r="I12" s="32">
        <f>LaddersH!H12</f>
        <v>0</v>
      </c>
      <c r="J12" s="32">
        <f>LaddersH!I12</f>
        <v>0</v>
      </c>
      <c r="K12" s="32">
        <f>LaddersH!J12</f>
        <v>0</v>
      </c>
      <c r="L12" s="112" t="str">
        <f>LaddersH!Q12</f>
        <v>1&gt;2 ?</v>
      </c>
    </row>
    <row r="13" spans="2:12" ht="12" thickBot="1">
      <c r="B13" s="140"/>
      <c r="C13" s="33" t="str">
        <f>LaddersH!B13</f>
        <v>Italy</v>
      </c>
      <c r="D13" s="34">
        <f>LaddersH!C13</f>
        <v>0</v>
      </c>
      <c r="E13" s="34">
        <f>LaddersH!D13</f>
        <v>0</v>
      </c>
      <c r="F13" s="34">
        <f>LaddersH!E13</f>
        <v>0</v>
      </c>
      <c r="G13" s="34">
        <f>LaddersH!F13</f>
        <v>0</v>
      </c>
      <c r="H13" s="34">
        <f>LaddersH!G13</f>
        <v>0</v>
      </c>
      <c r="I13" s="34">
        <f>LaddersH!H13</f>
        <v>0</v>
      </c>
      <c r="J13" s="34">
        <f>LaddersH!I13</f>
        <v>0</v>
      </c>
      <c r="K13" s="34">
        <f>LaddersH!J13</f>
        <v>0</v>
      </c>
      <c r="L13" s="112" t="str">
        <f>LaddersH!Q13</f>
        <v>2&gt;3 ?</v>
      </c>
    </row>
    <row r="14" spans="2:12" ht="12" thickTop="1">
      <c r="B14" s="140"/>
      <c r="C14" s="31" t="str">
        <f>LaddersH!B14</f>
        <v>Croatia</v>
      </c>
      <c r="D14" s="32">
        <f>LaddersH!C14</f>
        <v>0</v>
      </c>
      <c r="E14" s="32">
        <f>LaddersH!D14</f>
        <v>0</v>
      </c>
      <c r="F14" s="32">
        <f>LaddersH!E14</f>
        <v>0</v>
      </c>
      <c r="G14" s="32">
        <f>LaddersH!F14</f>
        <v>0</v>
      </c>
      <c r="H14" s="32">
        <f>LaddersH!G14</f>
        <v>0</v>
      </c>
      <c r="I14" s="32">
        <f>LaddersH!H14</f>
        <v>0</v>
      </c>
      <c r="J14" s="32">
        <f>LaddersH!I14</f>
        <v>0</v>
      </c>
      <c r="K14" s="32">
        <f>LaddersH!J14</f>
        <v>0</v>
      </c>
      <c r="L14" s="112" t="str">
        <f>LaddersH!Q14</f>
        <v>3&gt;4 ?</v>
      </c>
    </row>
    <row r="15" spans="2:12" ht="11.25">
      <c r="B15" s="140"/>
      <c r="C15" s="83" t="str">
        <f>LaddersH!B15</f>
        <v>Albania</v>
      </c>
      <c r="D15" s="84">
        <f>LaddersH!C15</f>
        <v>0</v>
      </c>
      <c r="E15" s="84">
        <f>LaddersH!D15</f>
        <v>0</v>
      </c>
      <c r="F15" s="84">
        <f>LaddersH!E15</f>
        <v>0</v>
      </c>
      <c r="G15" s="84">
        <f>LaddersH!F15</f>
        <v>0</v>
      </c>
      <c r="H15" s="84">
        <f>LaddersH!G15</f>
        <v>0</v>
      </c>
      <c r="I15" s="84">
        <f>LaddersH!H15</f>
        <v>0</v>
      </c>
      <c r="J15" s="84">
        <f>LaddersH!I15</f>
        <v>0</v>
      </c>
      <c r="K15" s="84">
        <f>LaddersH!J15</f>
        <v>0</v>
      </c>
      <c r="L15" s="113" t="str">
        <f>IF(K16="",LaddersH!Q15,"")</f>
        <v>Swap?</v>
      </c>
    </row>
    <row r="16" spans="2:12" ht="12" thickBot="1">
      <c r="B16" s="108"/>
      <c r="C16" s="109"/>
      <c r="D16" s="110"/>
      <c r="E16" s="110"/>
      <c r="F16" s="110"/>
      <c r="G16" s="110"/>
      <c r="H16" s="110"/>
      <c r="I16" s="110"/>
      <c r="J16" s="110"/>
      <c r="K16" s="109">
        <f>LaddersH!M16</f>
      </c>
      <c r="L16" s="111"/>
    </row>
    <row r="17" spans="2:12" ht="5.25" customHeight="1" thickBot="1"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 ht="11.25">
      <c r="B18" s="104"/>
      <c r="C18" s="105" t="str">
        <f>LaddersH!B18</f>
        <v>Incomplete</v>
      </c>
      <c r="D18" s="106" t="str">
        <f>LaddersH!C18</f>
        <v>P</v>
      </c>
      <c r="E18" s="106" t="str">
        <f>LaddersH!D18</f>
        <v>W</v>
      </c>
      <c r="F18" s="106" t="str">
        <f>LaddersH!E18</f>
        <v>D</v>
      </c>
      <c r="G18" s="106" t="str">
        <f>LaddersH!F18</f>
        <v>L</v>
      </c>
      <c r="H18" s="106" t="str">
        <f>LaddersH!G18</f>
        <v>F</v>
      </c>
      <c r="I18" s="106" t="str">
        <f>LaddersH!H18</f>
        <v>A</v>
      </c>
      <c r="J18" s="106" t="str">
        <f>LaddersH!I18</f>
        <v>GD</v>
      </c>
      <c r="K18" s="106" t="str">
        <f>LaddersH!J18</f>
        <v>Pts</v>
      </c>
      <c r="L18" s="107" t="str">
        <f>IF(L22="Swap?","Swap?","")</f>
        <v>Swap?</v>
      </c>
    </row>
    <row r="19" spans="2:12" ht="11.25">
      <c r="B19" s="140"/>
      <c r="C19" s="31" t="str">
        <f>LaddersH!B19</f>
        <v>Serbia</v>
      </c>
      <c r="D19" s="32">
        <f>LaddersH!C19</f>
        <v>0</v>
      </c>
      <c r="E19" s="32">
        <f>LaddersH!D19</f>
        <v>0</v>
      </c>
      <c r="F19" s="32">
        <f>LaddersH!E19</f>
        <v>0</v>
      </c>
      <c r="G19" s="32">
        <f>LaddersH!F19</f>
        <v>0</v>
      </c>
      <c r="H19" s="32">
        <f>LaddersH!G19</f>
        <v>0</v>
      </c>
      <c r="I19" s="32">
        <f>LaddersH!H19</f>
        <v>0</v>
      </c>
      <c r="J19" s="32">
        <f>LaddersH!I19</f>
        <v>0</v>
      </c>
      <c r="K19" s="32">
        <f>LaddersH!J19</f>
        <v>0</v>
      </c>
      <c r="L19" s="112" t="str">
        <f>LaddersH!Q19</f>
        <v>1&gt;2 ?</v>
      </c>
    </row>
    <row r="20" spans="2:12" ht="12" thickBot="1">
      <c r="B20" s="140"/>
      <c r="C20" s="33" t="str">
        <f>LaddersH!B20</f>
        <v>Denmark</v>
      </c>
      <c r="D20" s="34">
        <f>LaddersH!C20</f>
        <v>0</v>
      </c>
      <c r="E20" s="34">
        <f>LaddersH!D20</f>
        <v>0</v>
      </c>
      <c r="F20" s="34">
        <f>LaddersH!E20</f>
        <v>0</v>
      </c>
      <c r="G20" s="34">
        <f>LaddersH!F20</f>
        <v>0</v>
      </c>
      <c r="H20" s="34">
        <f>LaddersH!G20</f>
        <v>0</v>
      </c>
      <c r="I20" s="34">
        <f>LaddersH!H20</f>
        <v>0</v>
      </c>
      <c r="J20" s="34">
        <f>LaddersH!I20</f>
        <v>0</v>
      </c>
      <c r="K20" s="34">
        <f>LaddersH!J20</f>
        <v>0</v>
      </c>
      <c r="L20" s="112" t="str">
        <f>LaddersH!Q20</f>
        <v>2&gt;3 ?</v>
      </c>
    </row>
    <row r="21" spans="2:12" ht="12" thickTop="1">
      <c r="B21" s="140"/>
      <c r="C21" s="31" t="str">
        <f>LaddersH!B21</f>
        <v>Slovenia</v>
      </c>
      <c r="D21" s="32">
        <f>LaddersH!C21</f>
        <v>0</v>
      </c>
      <c r="E21" s="32">
        <f>LaddersH!D21</f>
        <v>0</v>
      </c>
      <c r="F21" s="32">
        <f>LaddersH!E21</f>
        <v>0</v>
      </c>
      <c r="G21" s="32">
        <f>LaddersH!F21</f>
        <v>0</v>
      </c>
      <c r="H21" s="32">
        <f>LaddersH!G21</f>
        <v>0</v>
      </c>
      <c r="I21" s="32">
        <f>LaddersH!H21</f>
        <v>0</v>
      </c>
      <c r="J21" s="32">
        <f>LaddersH!I21</f>
        <v>0</v>
      </c>
      <c r="K21" s="32">
        <f>LaddersH!J21</f>
        <v>0</v>
      </c>
      <c r="L21" s="112" t="str">
        <f>LaddersH!Q21</f>
        <v>3&gt;4 ?</v>
      </c>
    </row>
    <row r="22" spans="2:12" ht="11.25">
      <c r="B22" s="140"/>
      <c r="C22" s="83" t="str">
        <f>LaddersH!B22</f>
        <v>England</v>
      </c>
      <c r="D22" s="84">
        <f>LaddersH!C22</f>
        <v>0</v>
      </c>
      <c r="E22" s="84">
        <f>LaddersH!D22</f>
        <v>0</v>
      </c>
      <c r="F22" s="84">
        <f>LaddersH!E22</f>
        <v>0</v>
      </c>
      <c r="G22" s="84">
        <f>LaddersH!F22</f>
        <v>0</v>
      </c>
      <c r="H22" s="84">
        <f>LaddersH!G22</f>
        <v>0</v>
      </c>
      <c r="I22" s="84">
        <f>LaddersH!H22</f>
        <v>0</v>
      </c>
      <c r="J22" s="84">
        <f>LaddersH!I22</f>
        <v>0</v>
      </c>
      <c r="K22" s="84">
        <f>LaddersH!J22</f>
        <v>0</v>
      </c>
      <c r="L22" s="113" t="str">
        <f>IF(K23="",LaddersH!Q22,"")</f>
        <v>Swap?</v>
      </c>
    </row>
    <row r="23" spans="2:12" ht="12" thickBot="1">
      <c r="B23" s="108"/>
      <c r="C23" s="109"/>
      <c r="D23" s="110"/>
      <c r="E23" s="110"/>
      <c r="F23" s="110"/>
      <c r="G23" s="110"/>
      <c r="H23" s="110"/>
      <c r="I23" s="110"/>
      <c r="J23" s="110"/>
      <c r="K23" s="109">
        <f>LaddersH!M23</f>
      </c>
      <c r="L23" s="111"/>
    </row>
    <row r="24" spans="2:12" ht="5.25" customHeight="1" thickBot="1"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2:12" ht="11.25">
      <c r="B25" s="104"/>
      <c r="C25" s="105" t="str">
        <f>LaddersH!B25</f>
        <v>Incomplete</v>
      </c>
      <c r="D25" s="106" t="str">
        <f>LaddersH!C25</f>
        <v>P</v>
      </c>
      <c r="E25" s="106" t="str">
        <f>LaddersH!D25</f>
        <v>W</v>
      </c>
      <c r="F25" s="106" t="str">
        <f>LaddersH!E25</f>
        <v>D</v>
      </c>
      <c r="G25" s="106" t="str">
        <f>LaddersH!F25</f>
        <v>L</v>
      </c>
      <c r="H25" s="106" t="str">
        <f>LaddersH!G25</f>
        <v>F</v>
      </c>
      <c r="I25" s="106" t="str">
        <f>LaddersH!H25</f>
        <v>A</v>
      </c>
      <c r="J25" s="106" t="str">
        <f>LaddersH!I25</f>
        <v>GD</v>
      </c>
      <c r="K25" s="106" t="str">
        <f>LaddersH!J25</f>
        <v>Pts</v>
      </c>
      <c r="L25" s="107" t="str">
        <f>IF(L29="Swap?","Swap?","")</f>
        <v>Swap?</v>
      </c>
    </row>
    <row r="26" spans="2:12" ht="11.25">
      <c r="B26" s="140"/>
      <c r="C26" s="31" t="str">
        <f>LaddersH!B26</f>
        <v>France</v>
      </c>
      <c r="D26" s="32">
        <f>LaddersH!C26</f>
        <v>0</v>
      </c>
      <c r="E26" s="32">
        <f>LaddersH!D26</f>
        <v>0</v>
      </c>
      <c r="F26" s="32">
        <f>LaddersH!E26</f>
        <v>0</v>
      </c>
      <c r="G26" s="32">
        <f>LaddersH!F26</f>
        <v>0</v>
      </c>
      <c r="H26" s="32">
        <f>LaddersH!G26</f>
        <v>0</v>
      </c>
      <c r="I26" s="32">
        <f>LaddersH!H26</f>
        <v>0</v>
      </c>
      <c r="J26" s="32">
        <f>LaddersH!I26</f>
        <v>0</v>
      </c>
      <c r="K26" s="32">
        <f>LaddersH!J26</f>
        <v>0</v>
      </c>
      <c r="L26" s="112" t="str">
        <f>LaddersH!Q26</f>
        <v>1&gt;2 ?</v>
      </c>
    </row>
    <row r="27" spans="2:12" ht="12" thickBot="1">
      <c r="B27" s="140"/>
      <c r="C27" s="33" t="str">
        <f>LaddersH!B27</f>
        <v>Netherlands</v>
      </c>
      <c r="D27" s="34">
        <f>LaddersH!C27</f>
        <v>0</v>
      </c>
      <c r="E27" s="34">
        <f>LaddersH!D27</f>
        <v>0</v>
      </c>
      <c r="F27" s="34">
        <f>LaddersH!E27</f>
        <v>0</v>
      </c>
      <c r="G27" s="34">
        <f>LaddersH!F27</f>
        <v>0</v>
      </c>
      <c r="H27" s="34">
        <f>LaddersH!G27</f>
        <v>0</v>
      </c>
      <c r="I27" s="34">
        <f>LaddersH!H27</f>
        <v>0</v>
      </c>
      <c r="J27" s="34">
        <f>LaddersH!I27</f>
        <v>0</v>
      </c>
      <c r="K27" s="34">
        <f>LaddersH!J27</f>
        <v>0</v>
      </c>
      <c r="L27" s="112" t="str">
        <f>LaddersH!Q27</f>
        <v>2&gt;3 ?</v>
      </c>
    </row>
    <row r="28" spans="2:12" ht="12" thickTop="1">
      <c r="B28" s="140"/>
      <c r="C28" s="31" t="str">
        <f>LaddersH!B28</f>
        <v>Poland</v>
      </c>
      <c r="D28" s="32">
        <f>LaddersH!C28</f>
        <v>0</v>
      </c>
      <c r="E28" s="32">
        <f>LaddersH!D28</f>
        <v>0</v>
      </c>
      <c r="F28" s="32">
        <f>LaddersH!E28</f>
        <v>0</v>
      </c>
      <c r="G28" s="32">
        <f>LaddersH!F28</f>
        <v>0</v>
      </c>
      <c r="H28" s="32">
        <f>LaddersH!G28</f>
        <v>0</v>
      </c>
      <c r="I28" s="32">
        <f>LaddersH!H28</f>
        <v>0</v>
      </c>
      <c r="J28" s="32">
        <f>LaddersH!I28</f>
        <v>0</v>
      </c>
      <c r="K28" s="32">
        <f>LaddersH!J28</f>
        <v>0</v>
      </c>
      <c r="L28" s="112" t="str">
        <f>LaddersH!Q28</f>
        <v>3&gt;4 ?</v>
      </c>
    </row>
    <row r="29" spans="2:12" ht="11.25">
      <c r="B29" s="140"/>
      <c r="C29" s="83" t="str">
        <f>LaddersH!B29</f>
        <v>Austria</v>
      </c>
      <c r="D29" s="84">
        <f>LaddersH!C29</f>
        <v>0</v>
      </c>
      <c r="E29" s="84">
        <f>LaddersH!D29</f>
        <v>0</v>
      </c>
      <c r="F29" s="84">
        <f>LaddersH!E29</f>
        <v>0</v>
      </c>
      <c r="G29" s="84">
        <f>LaddersH!F29</f>
        <v>0</v>
      </c>
      <c r="H29" s="84">
        <f>LaddersH!G29</f>
        <v>0</v>
      </c>
      <c r="I29" s="84">
        <f>LaddersH!H29</f>
        <v>0</v>
      </c>
      <c r="J29" s="84">
        <f>LaddersH!I29</f>
        <v>0</v>
      </c>
      <c r="K29" s="84">
        <f>LaddersH!J29</f>
        <v>0</v>
      </c>
      <c r="L29" s="113" t="str">
        <f>IF(K30="",LaddersH!Q29,"")</f>
        <v>Swap?</v>
      </c>
    </row>
    <row r="30" spans="2:12" ht="12" thickBot="1">
      <c r="B30" s="108"/>
      <c r="C30" s="109"/>
      <c r="D30" s="110"/>
      <c r="E30" s="110"/>
      <c r="F30" s="110"/>
      <c r="G30" s="110"/>
      <c r="H30" s="110"/>
      <c r="I30" s="110"/>
      <c r="J30" s="110"/>
      <c r="K30" s="109">
        <f>LaddersH!M30</f>
      </c>
      <c r="L30" s="111"/>
    </row>
    <row r="31" spans="2:12" ht="5.25" customHeight="1" thickBot="1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1.25">
      <c r="B32" s="104"/>
      <c r="C32" s="105" t="str">
        <f>LaddersH!B32</f>
        <v>Incomplete</v>
      </c>
      <c r="D32" s="106" t="str">
        <f>LaddersH!C32</f>
        <v>P</v>
      </c>
      <c r="E32" s="106" t="str">
        <f>LaddersH!D32</f>
        <v>W</v>
      </c>
      <c r="F32" s="106" t="str">
        <f>LaddersH!E32</f>
        <v>D</v>
      </c>
      <c r="G32" s="106" t="str">
        <f>LaddersH!F32</f>
        <v>L</v>
      </c>
      <c r="H32" s="106" t="str">
        <f>LaddersH!G32</f>
        <v>F</v>
      </c>
      <c r="I32" s="106" t="str">
        <f>LaddersH!H32</f>
        <v>A</v>
      </c>
      <c r="J32" s="106" t="str">
        <f>LaddersH!I32</f>
        <v>GD</v>
      </c>
      <c r="K32" s="106" t="str">
        <f>LaddersH!J32</f>
        <v>Pts</v>
      </c>
      <c r="L32" s="107" t="str">
        <f>IF(L36="Swap?","Swap?","")</f>
        <v>Swap?</v>
      </c>
    </row>
    <row r="33" spans="2:12" ht="11.25">
      <c r="B33" s="140"/>
      <c r="C33" s="31" t="str">
        <f>LaddersH!B33</f>
        <v>Belgium</v>
      </c>
      <c r="D33" s="32">
        <f>LaddersH!C33</f>
        <v>0</v>
      </c>
      <c r="E33" s="32">
        <f>LaddersH!D33</f>
        <v>0</v>
      </c>
      <c r="F33" s="32">
        <f>LaddersH!E33</f>
        <v>0</v>
      </c>
      <c r="G33" s="32">
        <f>LaddersH!F33</f>
        <v>0</v>
      </c>
      <c r="H33" s="32">
        <f>LaddersH!G33</f>
        <v>0</v>
      </c>
      <c r="I33" s="32">
        <f>LaddersH!H33</f>
        <v>0</v>
      </c>
      <c r="J33" s="32">
        <f>LaddersH!I33</f>
        <v>0</v>
      </c>
      <c r="K33" s="32">
        <f>LaddersH!J33</f>
        <v>0</v>
      </c>
      <c r="L33" s="112" t="str">
        <f>LaddersH!Q33</f>
        <v>1&gt;2 ?</v>
      </c>
    </row>
    <row r="34" spans="2:12" ht="12" thickBot="1">
      <c r="B34" s="140"/>
      <c r="C34" s="33" t="str">
        <f>LaddersH!B34</f>
        <v>Romania</v>
      </c>
      <c r="D34" s="34">
        <f>LaddersH!C34</f>
        <v>0</v>
      </c>
      <c r="E34" s="34">
        <f>LaddersH!D34</f>
        <v>0</v>
      </c>
      <c r="F34" s="34">
        <f>LaddersH!E34</f>
        <v>0</v>
      </c>
      <c r="G34" s="34">
        <f>LaddersH!F34</f>
        <v>0</v>
      </c>
      <c r="H34" s="34">
        <f>LaddersH!G34</f>
        <v>0</v>
      </c>
      <c r="I34" s="34">
        <f>LaddersH!H34</f>
        <v>0</v>
      </c>
      <c r="J34" s="34">
        <f>LaddersH!I34</f>
        <v>0</v>
      </c>
      <c r="K34" s="34">
        <f>LaddersH!J34</f>
        <v>0</v>
      </c>
      <c r="L34" s="112" t="str">
        <f>LaddersH!Q34</f>
        <v>2&gt;3 ?</v>
      </c>
    </row>
    <row r="35" spans="2:12" ht="12" thickTop="1">
      <c r="B35" s="140"/>
      <c r="C35" s="31" t="str">
        <f>LaddersH!B35</f>
        <v>Slovakia</v>
      </c>
      <c r="D35" s="32">
        <f>LaddersH!C35</f>
        <v>0</v>
      </c>
      <c r="E35" s="32">
        <f>LaddersH!D35</f>
        <v>0</v>
      </c>
      <c r="F35" s="32">
        <f>LaddersH!E35</f>
        <v>0</v>
      </c>
      <c r="G35" s="32">
        <f>LaddersH!F35</f>
        <v>0</v>
      </c>
      <c r="H35" s="32">
        <f>LaddersH!G35</f>
        <v>0</v>
      </c>
      <c r="I35" s="32">
        <f>LaddersH!H35</f>
        <v>0</v>
      </c>
      <c r="J35" s="32">
        <f>LaddersH!I35</f>
        <v>0</v>
      </c>
      <c r="K35" s="32">
        <f>LaddersH!J35</f>
        <v>0</v>
      </c>
      <c r="L35" s="112" t="str">
        <f>LaddersH!Q35</f>
        <v>3&gt;4 ?</v>
      </c>
    </row>
    <row r="36" spans="2:12" ht="11.25">
      <c r="B36" s="140"/>
      <c r="C36" s="83" t="str">
        <f>LaddersH!B36</f>
        <v>Ukraine</v>
      </c>
      <c r="D36" s="84">
        <f>LaddersH!C36</f>
        <v>0</v>
      </c>
      <c r="E36" s="84">
        <f>LaddersH!D36</f>
        <v>0</v>
      </c>
      <c r="F36" s="84">
        <f>LaddersH!E36</f>
        <v>0</v>
      </c>
      <c r="G36" s="84">
        <f>LaddersH!F36</f>
        <v>0</v>
      </c>
      <c r="H36" s="84">
        <f>LaddersH!G36</f>
        <v>0</v>
      </c>
      <c r="I36" s="84">
        <f>LaddersH!H36</f>
        <v>0</v>
      </c>
      <c r="J36" s="84">
        <f>LaddersH!I36</f>
        <v>0</v>
      </c>
      <c r="K36" s="84">
        <f>LaddersH!J36</f>
        <v>0</v>
      </c>
      <c r="L36" s="113" t="str">
        <f>IF(K37="",LaddersH!Q36,"")</f>
        <v>Swap?</v>
      </c>
    </row>
    <row r="37" spans="2:12" ht="12" thickBot="1">
      <c r="B37" s="108"/>
      <c r="C37" s="109"/>
      <c r="D37" s="110"/>
      <c r="E37" s="110"/>
      <c r="F37" s="110"/>
      <c r="G37" s="110"/>
      <c r="H37" s="110"/>
      <c r="I37" s="110"/>
      <c r="J37" s="110"/>
      <c r="K37" s="109">
        <f>LaddersH!M37</f>
      </c>
      <c r="L37" s="111"/>
    </row>
    <row r="38" spans="2:12" ht="5.25" customHeight="1" thickBot="1"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2:12" ht="11.25" customHeight="1">
      <c r="B39" s="104"/>
      <c r="C39" s="105" t="str">
        <f>LaddersH!B39</f>
        <v>Incomplete</v>
      </c>
      <c r="D39" s="106" t="str">
        <f>LaddersH!C39</f>
        <v>P</v>
      </c>
      <c r="E39" s="106" t="str">
        <f>LaddersH!D39</f>
        <v>W</v>
      </c>
      <c r="F39" s="106" t="str">
        <f>LaddersH!E39</f>
        <v>D</v>
      </c>
      <c r="G39" s="106" t="str">
        <f>LaddersH!F39</f>
        <v>L</v>
      </c>
      <c r="H39" s="106" t="str">
        <f>LaddersH!G39</f>
        <v>F</v>
      </c>
      <c r="I39" s="106" t="str">
        <f>LaddersH!H39</f>
        <v>A</v>
      </c>
      <c r="J39" s="106" t="str">
        <f>LaddersH!I39</f>
        <v>GD</v>
      </c>
      <c r="K39" s="106" t="str">
        <f>LaddersH!J39</f>
        <v>Pts</v>
      </c>
      <c r="L39" s="107" t="str">
        <f>IF(L43="Swap?","Swap?","")</f>
        <v>Swap?</v>
      </c>
    </row>
    <row r="40" spans="2:12" ht="11.25">
      <c r="B40" s="140"/>
      <c r="C40" s="31" t="str">
        <f>LaddersH!B40</f>
        <v>Portugal</v>
      </c>
      <c r="D40" s="32">
        <f>LaddersH!C40</f>
        <v>0</v>
      </c>
      <c r="E40" s="32">
        <f>LaddersH!D40</f>
        <v>0</v>
      </c>
      <c r="F40" s="32">
        <f>LaddersH!E40</f>
        <v>0</v>
      </c>
      <c r="G40" s="32">
        <f>LaddersH!F40</f>
        <v>0</v>
      </c>
      <c r="H40" s="32">
        <f>LaddersH!G40</f>
        <v>0</v>
      </c>
      <c r="I40" s="32">
        <f>LaddersH!H40</f>
        <v>0</v>
      </c>
      <c r="J40" s="32">
        <f>LaddersH!I40</f>
        <v>0</v>
      </c>
      <c r="K40" s="32">
        <f>LaddersH!J40</f>
        <v>0</v>
      </c>
      <c r="L40" s="112" t="str">
        <f>LaddersH!Q40</f>
        <v>1&gt;2 ?</v>
      </c>
    </row>
    <row r="41" spans="2:12" ht="12" thickBot="1">
      <c r="B41" s="140"/>
      <c r="C41" s="33" t="str">
        <f>LaddersH!B41</f>
        <v>Türkiye</v>
      </c>
      <c r="D41" s="34">
        <f>LaddersH!C41</f>
        <v>0</v>
      </c>
      <c r="E41" s="34">
        <f>LaddersH!D41</f>
        <v>0</v>
      </c>
      <c r="F41" s="34">
        <f>LaddersH!E41</f>
        <v>0</v>
      </c>
      <c r="G41" s="34">
        <f>LaddersH!F41</f>
        <v>0</v>
      </c>
      <c r="H41" s="34">
        <f>LaddersH!G41</f>
        <v>0</v>
      </c>
      <c r="I41" s="34">
        <f>LaddersH!H41</f>
        <v>0</v>
      </c>
      <c r="J41" s="34">
        <f>LaddersH!I41</f>
        <v>0</v>
      </c>
      <c r="K41" s="34">
        <f>LaddersH!J41</f>
        <v>0</v>
      </c>
      <c r="L41" s="112" t="str">
        <f>LaddersH!Q41</f>
        <v>2&gt;3 ?</v>
      </c>
    </row>
    <row r="42" spans="2:12" ht="12" thickTop="1">
      <c r="B42" s="140"/>
      <c r="C42" s="31" t="str">
        <f>LaddersH!B42</f>
        <v>Czechia</v>
      </c>
      <c r="D42" s="32">
        <f>LaddersH!C42</f>
        <v>0</v>
      </c>
      <c r="E42" s="32">
        <f>LaddersH!D42</f>
        <v>0</v>
      </c>
      <c r="F42" s="32">
        <f>LaddersH!E42</f>
        <v>0</v>
      </c>
      <c r="G42" s="32">
        <f>LaddersH!F42</f>
        <v>0</v>
      </c>
      <c r="H42" s="32">
        <f>LaddersH!G42</f>
        <v>0</v>
      </c>
      <c r="I42" s="32">
        <f>LaddersH!H42</f>
        <v>0</v>
      </c>
      <c r="J42" s="32">
        <f>LaddersH!I42</f>
        <v>0</v>
      </c>
      <c r="K42" s="32">
        <f>LaddersH!J42</f>
        <v>0</v>
      </c>
      <c r="L42" s="112" t="str">
        <f>LaddersH!Q42</f>
        <v>3&gt;4 ?</v>
      </c>
    </row>
    <row r="43" spans="2:12" ht="11.25">
      <c r="B43" s="140"/>
      <c r="C43" s="83" t="str">
        <f>LaddersH!B43</f>
        <v>Georgia</v>
      </c>
      <c r="D43" s="84">
        <f>LaddersH!C43</f>
        <v>0</v>
      </c>
      <c r="E43" s="84">
        <f>LaddersH!D43</f>
        <v>0</v>
      </c>
      <c r="F43" s="84">
        <f>LaddersH!E43</f>
        <v>0</v>
      </c>
      <c r="G43" s="84">
        <f>LaddersH!F43</f>
        <v>0</v>
      </c>
      <c r="H43" s="84">
        <f>LaddersH!G43</f>
        <v>0</v>
      </c>
      <c r="I43" s="84">
        <f>LaddersH!H43</f>
        <v>0</v>
      </c>
      <c r="J43" s="84">
        <f>LaddersH!I43</f>
        <v>0</v>
      </c>
      <c r="K43" s="84">
        <f>LaddersH!J43</f>
        <v>0</v>
      </c>
      <c r="L43" s="113" t="str">
        <f>IF(K44="",LaddersH!Q43,"")</f>
        <v>Swap?</v>
      </c>
    </row>
    <row r="44" spans="2:12" ht="12" thickBot="1">
      <c r="B44" s="108"/>
      <c r="C44" s="109"/>
      <c r="D44" s="110"/>
      <c r="E44" s="110"/>
      <c r="F44" s="110"/>
      <c r="G44" s="110"/>
      <c r="H44" s="110"/>
      <c r="I44" s="110"/>
      <c r="J44" s="110"/>
      <c r="K44" s="109">
        <f>LaddersH!M44</f>
      </c>
      <c r="L44" s="111"/>
    </row>
    <row r="45" ht="5.25" customHeight="1" thickBot="1"/>
    <row r="46" spans="2:12" ht="11.25" customHeight="1">
      <c r="B46" s="104"/>
      <c r="C46" s="105" t="s">
        <v>14</v>
      </c>
      <c r="D46" s="106" t="s">
        <v>6</v>
      </c>
      <c r="E46" s="106" t="s">
        <v>7</v>
      </c>
      <c r="F46" s="106" t="s">
        <v>8</v>
      </c>
      <c r="G46" s="106" t="s">
        <v>9</v>
      </c>
      <c r="H46" s="106" t="s">
        <v>10</v>
      </c>
      <c r="I46" s="106" t="s">
        <v>11</v>
      </c>
      <c r="J46" s="106" t="s">
        <v>12</v>
      </c>
      <c r="K46" s="106" t="s">
        <v>13</v>
      </c>
      <c r="L46" s="107" t="str">
        <f>IF(L52="Swap?","Swap?","")</f>
        <v>Swap?</v>
      </c>
    </row>
    <row r="47" spans="2:12" ht="11.25">
      <c r="B47" s="140"/>
      <c r="C47" s="31" t="str">
        <f>LaddersH!B48</f>
        <v>Czechia</v>
      </c>
      <c r="D47" s="32">
        <f>LaddersH!C48</f>
        <v>0</v>
      </c>
      <c r="E47" s="32">
        <f>LaddersH!D48</f>
        <v>0</v>
      </c>
      <c r="F47" s="32">
        <f>LaddersH!E48</f>
        <v>0</v>
      </c>
      <c r="G47" s="32">
        <f>LaddersH!F48</f>
        <v>0</v>
      </c>
      <c r="H47" s="32">
        <f>LaddersH!G48</f>
        <v>0</v>
      </c>
      <c r="I47" s="32">
        <f>LaddersH!H48</f>
        <v>0</v>
      </c>
      <c r="J47" s="32">
        <f>LaddersH!I48</f>
        <v>0</v>
      </c>
      <c r="K47" s="32">
        <f>LaddersH!J48</f>
        <v>0</v>
      </c>
      <c r="L47" s="112" t="str">
        <f>LaddersH!Q48</f>
        <v>1&gt;2 ?</v>
      </c>
    </row>
    <row r="48" spans="2:12" ht="11.25">
      <c r="B48" s="140"/>
      <c r="C48" s="119" t="str">
        <f>LaddersH!B49</f>
        <v>Slovenia</v>
      </c>
      <c r="D48" s="148">
        <f>LaddersH!C49</f>
        <v>0</v>
      </c>
      <c r="E48" s="148">
        <f>LaddersH!D49</f>
        <v>0</v>
      </c>
      <c r="F48" s="148">
        <f>LaddersH!E49</f>
        <v>0</v>
      </c>
      <c r="G48" s="148">
        <f>LaddersH!F49</f>
        <v>0</v>
      </c>
      <c r="H48" s="148">
        <f>LaddersH!G49</f>
        <v>0</v>
      </c>
      <c r="I48" s="148">
        <f>LaddersH!H49</f>
        <v>0</v>
      </c>
      <c r="J48" s="148">
        <f>LaddersH!I49</f>
        <v>0</v>
      </c>
      <c r="K48" s="148">
        <f>LaddersH!J49</f>
        <v>0</v>
      </c>
      <c r="L48" s="112" t="str">
        <f>LaddersH!Q49</f>
        <v>2&gt;3 ?</v>
      </c>
    </row>
    <row r="49" spans="2:12" ht="11.25">
      <c r="B49" s="140"/>
      <c r="C49" s="31" t="str">
        <f>LaddersH!B50</f>
        <v>Hungary</v>
      </c>
      <c r="D49" s="32">
        <f>LaddersH!C50</f>
        <v>0</v>
      </c>
      <c r="E49" s="32">
        <f>LaddersH!D50</f>
        <v>0</v>
      </c>
      <c r="F49" s="32">
        <f>LaddersH!E50</f>
        <v>0</v>
      </c>
      <c r="G49" s="32">
        <f>LaddersH!F50</f>
        <v>0</v>
      </c>
      <c r="H49" s="32">
        <f>LaddersH!G50</f>
        <v>0</v>
      </c>
      <c r="I49" s="32">
        <f>LaddersH!H50</f>
        <v>0</v>
      </c>
      <c r="J49" s="32">
        <f>LaddersH!I50</f>
        <v>0</v>
      </c>
      <c r="K49" s="32">
        <f>LaddersH!J50</f>
        <v>0</v>
      </c>
      <c r="L49" s="112" t="str">
        <f>LaddersH!Q50</f>
        <v>3&gt;4 ?</v>
      </c>
    </row>
    <row r="50" spans="2:12" ht="12" thickBot="1">
      <c r="B50" s="140"/>
      <c r="C50" s="123" t="str">
        <f>LaddersH!B51</f>
        <v>Croatia</v>
      </c>
      <c r="D50" s="149">
        <f>LaddersH!C51</f>
        <v>0</v>
      </c>
      <c r="E50" s="149">
        <f>LaddersH!D51</f>
        <v>0</v>
      </c>
      <c r="F50" s="149">
        <f>LaddersH!E51</f>
        <v>0</v>
      </c>
      <c r="G50" s="149">
        <f>LaddersH!F51</f>
        <v>0</v>
      </c>
      <c r="H50" s="149">
        <f>LaddersH!G51</f>
        <v>0</v>
      </c>
      <c r="I50" s="149">
        <f>LaddersH!H51</f>
        <v>0</v>
      </c>
      <c r="J50" s="149">
        <f>LaddersH!I51</f>
        <v>0</v>
      </c>
      <c r="K50" s="149">
        <f>LaddersH!J51</f>
        <v>0</v>
      </c>
      <c r="L50" s="112" t="str">
        <f>LaddersH!Q51</f>
        <v>4&gt;5 ?</v>
      </c>
    </row>
    <row r="51" spans="2:12" ht="12" thickTop="1">
      <c r="B51" s="140"/>
      <c r="C51" s="31" t="str">
        <f>LaddersH!B52</f>
        <v>Slovakia</v>
      </c>
      <c r="D51" s="32">
        <f>LaddersH!C52</f>
        <v>0</v>
      </c>
      <c r="E51" s="32">
        <f>LaddersH!D52</f>
        <v>0</v>
      </c>
      <c r="F51" s="32">
        <f>LaddersH!E52</f>
        <v>0</v>
      </c>
      <c r="G51" s="32">
        <f>LaddersH!F52</f>
        <v>0</v>
      </c>
      <c r="H51" s="32">
        <f>LaddersH!G52</f>
        <v>0</v>
      </c>
      <c r="I51" s="32">
        <f>LaddersH!H52</f>
        <v>0</v>
      </c>
      <c r="J51" s="32">
        <f>LaddersH!I52</f>
        <v>0</v>
      </c>
      <c r="K51" s="32">
        <f>LaddersH!J52</f>
        <v>0</v>
      </c>
      <c r="L51" s="112" t="str">
        <f>LaddersH!Q52</f>
        <v>5&gt;6 ?</v>
      </c>
    </row>
    <row r="52" spans="2:12" ht="11.25">
      <c r="B52" s="140"/>
      <c r="C52" s="83" t="str">
        <f>LaddersH!B53</f>
        <v>Poland</v>
      </c>
      <c r="D52" s="84">
        <f>LaddersH!C53</f>
        <v>0</v>
      </c>
      <c r="E52" s="84">
        <f>LaddersH!D53</f>
        <v>0</v>
      </c>
      <c r="F52" s="84">
        <f>LaddersH!E53</f>
        <v>0</v>
      </c>
      <c r="G52" s="84">
        <f>LaddersH!F53</f>
        <v>0</v>
      </c>
      <c r="H52" s="84">
        <f>LaddersH!G53</f>
        <v>0</v>
      </c>
      <c r="I52" s="84">
        <f>LaddersH!H53</f>
        <v>0</v>
      </c>
      <c r="J52" s="84">
        <f>LaddersH!I53</f>
        <v>0</v>
      </c>
      <c r="K52" s="84">
        <f>LaddersH!J53</f>
        <v>0</v>
      </c>
      <c r="L52" s="113" t="str">
        <f>IF(K53="",LaddersH!Q53,"")</f>
        <v>Swap?</v>
      </c>
    </row>
    <row r="53" spans="1:12" ht="12" thickBot="1">
      <c r="A53" s="185"/>
      <c r="B53" s="187"/>
      <c r="C53" s="188"/>
      <c r="D53" s="110"/>
      <c r="E53" s="110"/>
      <c r="F53" s="110"/>
      <c r="G53" s="110"/>
      <c r="H53" s="110"/>
      <c r="I53" s="110"/>
      <c r="J53" s="110"/>
      <c r="K53" s="109">
        <f>LaddersH!M54</f>
      </c>
      <c r="L53" s="111"/>
    </row>
    <row r="54" spans="1:12" ht="12.75" thickBot="1" thickTop="1">
      <c r="A54" s="185"/>
      <c r="B54" s="189" t="str">
        <f>Fixtures!B44</f>
        <v>Results System (c) McRopod Concepts 2024 - www.mcropod.com.au</v>
      </c>
      <c r="C54" s="190"/>
      <c r="D54" s="92"/>
      <c r="E54" s="92"/>
      <c r="F54" s="92"/>
      <c r="G54" s="92"/>
      <c r="H54" s="92"/>
      <c r="I54" s="92"/>
      <c r="J54" s="92"/>
      <c r="K54" s="92"/>
      <c r="L54" s="93"/>
    </row>
    <row r="55" spans="1:3" ht="12" thickTop="1">
      <c r="A55" s="185"/>
      <c r="B55" s="185"/>
      <c r="C55" s="186"/>
    </row>
    <row r="56" spans="1:3" ht="11.25">
      <c r="A56" s="185"/>
      <c r="B56" s="185"/>
      <c r="C56" s="186"/>
    </row>
    <row r="57" spans="1:3" ht="11.25">
      <c r="A57" s="185"/>
      <c r="B57" s="185"/>
      <c r="C57" s="186"/>
    </row>
    <row r="58" spans="1:3" ht="11.25">
      <c r="A58" s="185"/>
      <c r="B58" s="185"/>
      <c r="C58" s="186"/>
    </row>
    <row r="59" spans="1:3" ht="11.25">
      <c r="A59" s="185"/>
      <c r="B59" s="185"/>
      <c r="C59" s="186"/>
    </row>
    <row r="60" spans="1:3" ht="11.25">
      <c r="A60" s="185"/>
      <c r="B60" s="185"/>
      <c r="C60" s="186"/>
    </row>
  </sheetData>
  <sheetProtection password="DA6D" sheet="1" objects="1" scenarios="1"/>
  <printOptions horizontalCentered="1"/>
  <pageMargins left="0.7480314960629921" right="0.7480314960629921" top="1.4960629921259843" bottom="0.984251968503937" header="0.5118110236220472" footer="0.5118110236220472"/>
  <pageSetup horizontalDpi="600" verticalDpi="600" orientation="portrait" paperSize="9" r:id="rId3"/>
  <headerFooter alignWithMargins="0">
    <oddHeader>&amp;L&amp;8(c) McRopod Concepts 2024&amp;CEuro 2024 - Germany&amp;R&amp;8www.mcropod.com.au</oddHeader>
    <oddFooter>&amp;L&amp;8www.mcropod.com.au&amp;C&amp;A&amp;R&amp;8&amp;D  &amp;T  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1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10.28125" style="2" customWidth="1"/>
    <col min="3" max="3" width="9.140625" style="2" customWidth="1"/>
    <col min="4" max="4" width="18.28125" style="2" customWidth="1"/>
    <col min="5" max="5" width="9.140625" style="2" customWidth="1"/>
    <col min="6" max="6" width="4.7109375" style="2" customWidth="1"/>
    <col min="7" max="8" width="3.7109375" style="2" customWidth="1"/>
    <col min="9" max="16384" width="9.140625" style="2" customWidth="1"/>
  </cols>
  <sheetData>
    <row r="1" spans="1:11" s="6" customFormat="1" ht="34.5" customHeight="1" thickBot="1">
      <c r="A1" s="150" t="str">
        <f>McRopod!K1</f>
        <v>V1 - 2501</v>
      </c>
      <c r="B1" s="5"/>
      <c r="E1" s="7"/>
      <c r="F1" s="8"/>
      <c r="G1" s="9"/>
      <c r="H1" s="5"/>
      <c r="J1" s="5"/>
      <c r="K1" s="5"/>
    </row>
    <row r="2" spans="2:8" ht="12.75" thickBot="1" thickTop="1">
      <c r="B2" s="94" t="s">
        <v>15</v>
      </c>
      <c r="C2" s="15"/>
      <c r="D2" s="15"/>
      <c r="E2" s="15"/>
      <c r="F2" s="15"/>
      <c r="G2" s="95"/>
      <c r="H2" s="96"/>
    </row>
    <row r="3" spans="2:8" ht="12" thickTop="1">
      <c r="B3" s="142" t="str">
        <f>Ladders!C4</f>
        <v>Incomplete</v>
      </c>
      <c r="C3" s="143" t="s">
        <v>16</v>
      </c>
      <c r="D3" s="144" t="str">
        <f>LaddersH!B5</f>
        <v>Scotland</v>
      </c>
      <c r="E3" s="144" t="s">
        <v>18</v>
      </c>
      <c r="F3" s="125"/>
      <c r="G3" s="125"/>
      <c r="H3" s="126"/>
    </row>
    <row r="4" spans="2:8" ht="12" thickBot="1">
      <c r="B4" s="145" t="str">
        <f>IF(Ladders!L8="Table OK",Ladders!L8,"Check Table")</f>
        <v>Check Table</v>
      </c>
      <c r="C4" s="146" t="s">
        <v>17</v>
      </c>
      <c r="D4" s="147" t="str">
        <f>LaddersH!B6</f>
        <v>Germany</v>
      </c>
      <c r="E4" s="147" t="s">
        <v>33</v>
      </c>
      <c r="F4" s="127"/>
      <c r="G4" s="127"/>
      <c r="H4" s="128"/>
    </row>
    <row r="5" spans="2:8" ht="11.25">
      <c r="B5" s="117" t="str">
        <f>Ladders!C11</f>
        <v>Incomplete</v>
      </c>
      <c r="C5" s="148" t="s">
        <v>19</v>
      </c>
      <c r="D5" s="118" t="str">
        <f>LaddersH!B12</f>
        <v>Spain</v>
      </c>
      <c r="E5" s="118" t="s">
        <v>160</v>
      </c>
      <c r="F5" s="129"/>
      <c r="G5" s="129"/>
      <c r="H5" s="130"/>
    </row>
    <row r="6" spans="2:8" ht="12" thickBot="1">
      <c r="B6" s="145" t="str">
        <f>IF(Ladders!L15="Table OK",Ladders!L15,"Check Table")</f>
        <v>Check Table</v>
      </c>
      <c r="C6" s="146" t="s">
        <v>20</v>
      </c>
      <c r="D6" s="147" t="str">
        <f>LaddersH!B13</f>
        <v>Italy</v>
      </c>
      <c r="E6" s="147" t="s">
        <v>24</v>
      </c>
      <c r="F6" s="127"/>
      <c r="G6" s="127"/>
      <c r="H6" s="128"/>
    </row>
    <row r="7" spans="2:8" ht="11.25">
      <c r="B7" s="117" t="str">
        <f>Ladders!C18</f>
        <v>Incomplete</v>
      </c>
      <c r="C7" s="148" t="s">
        <v>22</v>
      </c>
      <c r="D7" s="118" t="str">
        <f>LaddersH!B19</f>
        <v>Serbia</v>
      </c>
      <c r="E7" s="118" t="s">
        <v>161</v>
      </c>
      <c r="F7" s="129"/>
      <c r="G7" s="129"/>
      <c r="H7" s="130"/>
    </row>
    <row r="8" spans="2:8" ht="12" thickBot="1">
      <c r="B8" s="145" t="str">
        <f>IF(Ladders!L22="Table OK",Ladders!L22,"Check Table")</f>
        <v>Check Table</v>
      </c>
      <c r="C8" s="146" t="s">
        <v>23</v>
      </c>
      <c r="D8" s="147" t="str">
        <f>LaddersH!B20</f>
        <v>Denmark</v>
      </c>
      <c r="E8" s="147" t="s">
        <v>162</v>
      </c>
      <c r="F8" s="127"/>
      <c r="G8" s="127"/>
      <c r="H8" s="128"/>
    </row>
    <row r="9" spans="2:8" ht="11.25">
      <c r="B9" s="117" t="str">
        <f>Ladders!C25</f>
        <v>Incomplete</v>
      </c>
      <c r="C9" s="148" t="s">
        <v>25</v>
      </c>
      <c r="D9" s="118" t="str">
        <f>LaddersH!B26</f>
        <v>France</v>
      </c>
      <c r="E9" s="118" t="s">
        <v>21</v>
      </c>
      <c r="F9" s="129"/>
      <c r="G9" s="129"/>
      <c r="H9" s="130"/>
    </row>
    <row r="10" spans="2:8" ht="12" thickBot="1">
      <c r="B10" s="145" t="str">
        <f>IF(Ladders!L29="Table OK",Ladders!L29,"Check Table")</f>
        <v>Check Table</v>
      </c>
      <c r="C10" s="146" t="s">
        <v>26</v>
      </c>
      <c r="D10" s="147" t="str">
        <f>LaddersH!B27</f>
        <v>Netherlands</v>
      </c>
      <c r="E10" s="147" t="s">
        <v>31</v>
      </c>
      <c r="F10" s="127"/>
      <c r="G10" s="127"/>
      <c r="H10" s="128"/>
    </row>
    <row r="11" spans="2:8" ht="11.25">
      <c r="B11" s="151" t="str">
        <f>Ladders!C32</f>
        <v>Incomplete</v>
      </c>
      <c r="C11" s="32" t="s">
        <v>27</v>
      </c>
      <c r="D11" s="152" t="str">
        <f>LaddersH!B33</f>
        <v>Belgium</v>
      </c>
      <c r="E11" s="152" t="s">
        <v>163</v>
      </c>
      <c r="F11" s="153"/>
      <c r="G11" s="153"/>
      <c r="H11" s="154"/>
    </row>
    <row r="12" spans="2:8" ht="12" thickBot="1">
      <c r="B12" s="145" t="str">
        <f>IF(Ladders!L36="Table OK",Ladders!L36,"Check Table")</f>
        <v>Check Table</v>
      </c>
      <c r="C12" s="146" t="s">
        <v>29</v>
      </c>
      <c r="D12" s="147" t="str">
        <f>LaddersH!B34</f>
        <v>Romania</v>
      </c>
      <c r="E12" s="147" t="s">
        <v>28</v>
      </c>
      <c r="F12" s="127"/>
      <c r="G12" s="127"/>
      <c r="H12" s="128"/>
    </row>
    <row r="13" spans="2:8" ht="11.25">
      <c r="B13" s="117" t="str">
        <f>Ladders!C39</f>
        <v>Incomplete</v>
      </c>
      <c r="C13" s="148" t="s">
        <v>30</v>
      </c>
      <c r="D13" s="118" t="str">
        <f>LaddersH!B40</f>
        <v>Portugal</v>
      </c>
      <c r="E13" s="118" t="s">
        <v>164</v>
      </c>
      <c r="F13" s="129"/>
      <c r="G13" s="129"/>
      <c r="H13" s="130"/>
    </row>
    <row r="14" spans="2:8" ht="12" thickBot="1">
      <c r="B14" s="121" t="str">
        <f>IF(Ladders!L43="Table OK",Ladders!L43,"Check Table")</f>
        <v>Check Table</v>
      </c>
      <c r="C14" s="149" t="s">
        <v>32</v>
      </c>
      <c r="D14" s="122" t="str">
        <f>LaddersH!B41</f>
        <v>Türkiye</v>
      </c>
      <c r="E14" s="122" t="s">
        <v>28</v>
      </c>
      <c r="F14" s="131"/>
      <c r="G14" s="131"/>
      <c r="H14" s="132"/>
    </row>
    <row r="15" spans="2:8" ht="12" thickTop="1">
      <c r="B15" s="151"/>
      <c r="C15" s="32" t="str">
        <f>LaddersH!A48</f>
        <v>F3</v>
      </c>
      <c r="D15" s="152" t="str">
        <f>LaddersH!B48</f>
        <v>Czechia</v>
      </c>
      <c r="E15" s="152" t="s">
        <v>165</v>
      </c>
      <c r="F15" s="153"/>
      <c r="G15" s="153"/>
      <c r="H15" s="154"/>
    </row>
    <row r="16" spans="2:8" ht="11.25">
      <c r="B16" s="117"/>
      <c r="C16" s="148" t="str">
        <f>LaddersH!A49</f>
        <v>C3</v>
      </c>
      <c r="D16" s="118" t="str">
        <f>LaddersH!B49</f>
        <v>Slovenia</v>
      </c>
      <c r="E16" s="118" t="s">
        <v>166</v>
      </c>
      <c r="F16" s="129"/>
      <c r="G16" s="129"/>
      <c r="H16" s="130"/>
    </row>
    <row r="17" spans="2:8" ht="11.25">
      <c r="B17" s="151"/>
      <c r="C17" s="32" t="str">
        <f>LaddersH!A50</f>
        <v>B3</v>
      </c>
      <c r="D17" s="152" t="str">
        <f>LaddersH!B50</f>
        <v>Hungary</v>
      </c>
      <c r="E17" s="118" t="s">
        <v>166</v>
      </c>
      <c r="F17" s="153"/>
      <c r="G17" s="153"/>
      <c r="H17" s="154"/>
    </row>
    <row r="18" spans="2:8" ht="12" thickBot="1">
      <c r="B18" s="121"/>
      <c r="C18" s="149" t="str">
        <f>LaddersH!A51</f>
        <v>A3</v>
      </c>
      <c r="D18" s="122" t="str">
        <f>LaddersH!B51</f>
        <v>Croatia</v>
      </c>
      <c r="E18" s="122" t="s">
        <v>167</v>
      </c>
      <c r="F18" s="131"/>
      <c r="G18" s="131"/>
      <c r="H18" s="132"/>
    </row>
    <row r="19" ht="12" thickTop="1"/>
  </sheetData>
  <sheetProtection password="D825" sheet="1"/>
  <printOptions horizontalCentered="1"/>
  <pageMargins left="0.7480314960629921" right="0.7480314960629921" top="1.5748031496062993" bottom="0.984251968503937" header="0.5118110236220472" footer="0.5118110236220472"/>
  <pageSetup horizontalDpi="600" verticalDpi="600" orientation="portrait" paperSize="9" r:id="rId3"/>
  <headerFooter alignWithMargins="0">
    <oddHeader>&amp;L&amp;8(c) McRopod Concepts 2024&amp;CEuro 2024 - Germany&amp;R&amp;8www.mcropod.com.au</oddHeader>
    <oddFooter>&amp;L&amp;8www.mcropod.com.au&amp;C&amp;A&amp;R&amp;8&amp;F  &amp;D  &amp;T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5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140625" style="38" customWidth="1"/>
    <col min="2" max="2" width="5.7109375" style="38" customWidth="1"/>
    <col min="3" max="3" width="24.7109375" style="38" customWidth="1"/>
    <col min="4" max="5" width="5.7109375" style="38" customWidth="1"/>
    <col min="6" max="7" width="2.140625" style="38" customWidth="1"/>
    <col min="8" max="8" width="5.7109375" style="38" customWidth="1"/>
    <col min="9" max="9" width="24.7109375" style="38" customWidth="1"/>
    <col min="10" max="11" width="5.7109375" style="38" customWidth="1"/>
    <col min="12" max="13" width="2.140625" style="38" customWidth="1"/>
    <col min="14" max="14" width="5.7109375" style="38" customWidth="1"/>
    <col min="15" max="15" width="24.7109375" style="38" customWidth="1"/>
    <col min="16" max="17" width="5.7109375" style="38" customWidth="1"/>
    <col min="18" max="19" width="2.140625" style="38" customWidth="1"/>
    <col min="20" max="20" width="5.7109375" style="38" customWidth="1"/>
    <col min="21" max="21" width="24.7109375" style="38" customWidth="1"/>
    <col min="22" max="23" width="5.7109375" style="38" customWidth="1"/>
    <col min="24" max="25" width="9.140625" style="38" customWidth="1"/>
    <col min="26" max="28" width="0" style="38" hidden="1" customWidth="1"/>
    <col min="29" max="16384" width="9.140625" style="38" customWidth="1"/>
  </cols>
  <sheetData>
    <row r="1" spans="1:24" s="35" customFormat="1" ht="37.5" customHeight="1">
      <c r="A1" s="193"/>
      <c r="B1" s="36"/>
      <c r="C1" s="36"/>
      <c r="D1" s="36"/>
      <c r="E1" s="36"/>
      <c r="F1" s="36"/>
      <c r="G1" s="36"/>
      <c r="H1" s="36"/>
      <c r="I1" s="36"/>
      <c r="J1" s="36"/>
      <c r="K1" s="37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5" t="str">
        <f>McRopod!K1</f>
        <v>V1 - 2501</v>
      </c>
    </row>
    <row r="2" spans="2:23" ht="21.75" customHeight="1" thickBot="1">
      <c r="B2" s="40" t="s">
        <v>258</v>
      </c>
      <c r="C2" s="40"/>
      <c r="D2" s="41"/>
      <c r="E2" s="41"/>
      <c r="H2" s="184" t="s">
        <v>259</v>
      </c>
      <c r="I2" s="40"/>
      <c r="J2" s="41"/>
      <c r="K2" s="41"/>
      <c r="N2" s="184" t="s">
        <v>260</v>
      </c>
      <c r="O2" s="40"/>
      <c r="P2" s="41"/>
      <c r="Q2" s="41"/>
      <c r="T2" s="39" t="s">
        <v>261</v>
      </c>
      <c r="U2" s="40"/>
      <c r="V2" s="41"/>
      <c r="W2" s="41"/>
    </row>
    <row r="3" spans="2:10" ht="19.5" customHeight="1" thickBot="1" thickTop="1">
      <c r="B3" s="195">
        <v>39</v>
      </c>
      <c r="C3" s="134" t="str">
        <f>IF(Ladders!C11="Final Table",Ladders!C12,"Winner Group B")</f>
        <v>Winner Group B</v>
      </c>
      <c r="D3" s="44"/>
      <c r="E3" s="45"/>
      <c r="I3" s="42"/>
      <c r="J3" s="43"/>
    </row>
    <row r="4" spans="2:12" ht="19.5" customHeight="1" thickBot="1" thickTop="1">
      <c r="B4" s="159"/>
      <c r="C4" s="179" t="s">
        <v>247</v>
      </c>
      <c r="D4" s="160"/>
      <c r="E4" s="161"/>
      <c r="F4" s="59"/>
      <c r="G4" s="177"/>
      <c r="H4" s="133"/>
      <c r="I4" s="137" t="str">
        <f>IF(D3="","Winner Match 39",IF(D4="","Winner Match 39",IF(D3&gt;D4,C3,IF(D3&lt;D4,C4,IF(AND(D3=D4,E4=""),"Winner Match 39",IF(AND(D3=D4,E3&gt;E4),C3,IF(AND(D3=D4,E3&lt;E4),C4,"There must be a winner!")))))))</f>
        <v>Winner Match 39</v>
      </c>
      <c r="J4" s="103"/>
      <c r="K4" s="45"/>
      <c r="L4" s="46"/>
    </row>
    <row r="5" spans="2:19" ht="19.5" customHeight="1" thickBot="1" thickTop="1">
      <c r="B5" s="196">
        <v>37</v>
      </c>
      <c r="C5" s="156" t="str">
        <f>IF(Ladders!C4="Final Table",Ladders!C5,"Winner Group A")</f>
        <v>Winner Group A</v>
      </c>
      <c r="D5" s="157"/>
      <c r="E5" s="158"/>
      <c r="H5" s="197">
        <v>45</v>
      </c>
      <c r="I5" s="47" t="s">
        <v>251</v>
      </c>
      <c r="J5" s="48"/>
      <c r="K5" s="49">
        <f>IF(J6="","",IF(J4=J6,"(Pens)",""))</f>
      </c>
      <c r="L5" s="50"/>
      <c r="M5" s="51"/>
      <c r="O5" s="42"/>
      <c r="P5" s="43"/>
      <c r="S5" s="52"/>
    </row>
    <row r="6" spans="2:19" ht="19.5" customHeight="1" thickBot="1" thickTop="1">
      <c r="B6" s="135"/>
      <c r="C6" s="183" t="str">
        <f>IF(Ladders!C18="Final Table",Ladders!C20,"Runner-Up Group C")</f>
        <v>Runner-Up Group C</v>
      </c>
      <c r="D6" s="60"/>
      <c r="E6" s="53"/>
      <c r="F6" s="59"/>
      <c r="G6" s="155"/>
      <c r="H6" s="135"/>
      <c r="I6" s="136" t="str">
        <f>IF(D5="","Winner Match 37",IF(D6="","Winner Match 37",IF(D5&gt;D6,C5,IF(D5&lt;D6,C6,IF(AND(D5=D6,E6=""),"Winner Match 37",IF(AND(D5=D6,E5&gt;E6),C5,IF(AND(D5=D6,E5&lt;E6),C6,"There must be a winner!")))))))</f>
        <v>Winner Match 37</v>
      </c>
      <c r="J6" s="60"/>
      <c r="K6" s="53"/>
      <c r="L6" s="46"/>
      <c r="M6" s="54"/>
      <c r="N6" s="133"/>
      <c r="O6" s="137" t="str">
        <f>IF(J4="","Winner Match 45",IF(J6="","Winner Match 45",IF(J4&gt;J6,I4,IF(J4&lt;J6,I6,IF(AND(J4=J6,K6=""),"Winner Match 45",IF(AND(J4=J6,K4&gt;K6),I4,IF(AND(J4=J6,K4&lt;K6),I6,"There must be a winner!")))))))</f>
        <v>Winner Match 45</v>
      </c>
      <c r="P6" s="103"/>
      <c r="Q6" s="45"/>
      <c r="R6" s="56"/>
      <c r="S6" s="52"/>
    </row>
    <row r="7" spans="2:18" ht="19.5" customHeight="1" thickBot="1" thickTop="1">
      <c r="B7" s="195">
        <v>41</v>
      </c>
      <c r="C7" s="134" t="str">
        <f>IF(Ladders!C39="Final Table",Ladders!C40,"Winner Group F")</f>
        <v>Winner Group F</v>
      </c>
      <c r="D7" s="44"/>
      <c r="E7" s="45"/>
      <c r="H7" s="57"/>
      <c r="I7" s="42"/>
      <c r="J7" s="43"/>
      <c r="K7" s="57"/>
      <c r="M7" s="178"/>
      <c r="N7" s="197">
        <v>49</v>
      </c>
      <c r="O7" s="47" t="s">
        <v>255</v>
      </c>
      <c r="P7" s="48"/>
      <c r="Q7" s="49">
        <f>IF(P8="","",IF(P6=P8,"(Pens)",""))</f>
      </c>
      <c r="R7" s="58"/>
    </row>
    <row r="8" spans="2:22" ht="19.5" customHeight="1" thickBot="1" thickTop="1">
      <c r="B8" s="159"/>
      <c r="C8" s="179" t="s">
        <v>248</v>
      </c>
      <c r="D8" s="160"/>
      <c r="E8" s="161"/>
      <c r="F8" s="59"/>
      <c r="G8" s="177"/>
      <c r="H8" s="133"/>
      <c r="I8" s="137" t="str">
        <f>IF(D7="","Winner Match 41",IF(D8="","Winner Match 41",IF(D7&gt;D8,C7,IF(D7&lt;D8,C8,IF(AND(D7=D8,E8=""),"Winner Match 41",IF(AND(D7=D8,E7&gt;E8),C7,IF(AND(D7=D8,E7&lt;E8),C8,"There must be a winner!")))))))</f>
        <v>Winner Match 41</v>
      </c>
      <c r="J8" s="103"/>
      <c r="K8" s="45"/>
      <c r="L8" s="46"/>
      <c r="M8" s="59"/>
      <c r="N8" s="135"/>
      <c r="O8" s="136" t="str">
        <f>IF(J8="","Winner Match 46",IF(J10="","Winner Match 46",IF(J8&gt;J10,I8,IF(J8&lt;J10,I10,IF(AND(J8=J10,K10=""),"Winner Match 46",IF(AND(J8=J10,K8&gt;K10),I8,IF(AND(J8=J10,K8&lt;K10),I10,"There must be a winner!")))))))</f>
        <v>Winner Match 46</v>
      </c>
      <c r="P8" s="60"/>
      <c r="Q8" s="53"/>
      <c r="R8" s="58"/>
      <c r="U8" s="42"/>
      <c r="V8" s="43"/>
    </row>
    <row r="9" spans="2:23" ht="19.5" customHeight="1" thickBot="1" thickTop="1">
      <c r="B9" s="196">
        <v>42</v>
      </c>
      <c r="C9" s="156" t="str">
        <f>IF(Ladders!C25="Final Table",Ladders!C27,"Runner-Up Group D")</f>
        <v>Runner-Up Group D</v>
      </c>
      <c r="D9" s="157"/>
      <c r="E9" s="158"/>
      <c r="H9" s="197">
        <v>46</v>
      </c>
      <c r="I9" s="47" t="s">
        <v>252</v>
      </c>
      <c r="J9" s="48"/>
      <c r="K9" s="49">
        <f>IF(J10="","",IF(J8=J10,"(Pens)",""))</f>
      </c>
      <c r="L9" s="61"/>
      <c r="M9" s="51"/>
      <c r="R9" s="58"/>
      <c r="S9" s="56"/>
      <c r="T9" s="133"/>
      <c r="U9" s="137" t="str">
        <f>IF(P8="","Winner Match 49",IF(P6&gt;P8,O6,IF(P6&lt;P8,O8,IF(AND(P6=P8,Q8=""),"Winner Match 49",IF(AND(P6=P8,Q6&gt;Q8),O6,IF(AND(P6=P8,Q6&lt;Q8),O8,"There must be a winner!"))))))</f>
        <v>Winner Match 49</v>
      </c>
      <c r="V9" s="103"/>
      <c r="W9" s="45"/>
    </row>
    <row r="10" spans="2:23" ht="19.5" customHeight="1" thickBot="1" thickTop="1">
      <c r="B10" s="135"/>
      <c r="C10" s="191" t="str">
        <f>IF(Ladders!C32="Final Table",Ladders!C34,"Runner-Up Group E")</f>
        <v>Runner-Up Group E</v>
      </c>
      <c r="D10" s="60"/>
      <c r="E10" s="53"/>
      <c r="F10" s="59"/>
      <c r="G10" s="155"/>
      <c r="H10" s="135"/>
      <c r="I10" s="136" t="str">
        <f>IF(D9="","Winner Match 42",IF(D10="","Winner Match 42",IF(D9&gt;D10,C9,IF(D9&lt;D10,C10,IF(AND(D9=D10,E10=""),"Winner Match 42",IF(AND(D9=D10,E9&gt;E10),C9,IF(AND(D9=D10,E9&lt;E10),C10,"There must be a winner!")))))))</f>
        <v>Winner Match 42</v>
      </c>
      <c r="J10" s="60"/>
      <c r="K10" s="53"/>
      <c r="L10" s="46"/>
      <c r="N10" s="62"/>
      <c r="O10" s="63"/>
      <c r="P10" s="52"/>
      <c r="Q10" s="52"/>
      <c r="R10" s="52"/>
      <c r="T10" s="64">
        <f>IF(V10="","","Champions:")</f>
      </c>
      <c r="U10" s="65"/>
      <c r="V10" s="66">
        <f>IF(V13="","",IF(V9&gt;V13,U9,IF(V9&lt;V13,U13,IF(AND(V9=V13,W13=""),"",IF(AND(V9=V13,W9&gt;W13),U9,IF(AND(V9=V13,W9&lt;W13),U13,"There must be a winner"))))))</f>
      </c>
      <c r="W10" s="67"/>
    </row>
    <row r="11" spans="2:23" ht="19.5" customHeight="1" thickBot="1" thickTop="1">
      <c r="B11" s="196">
        <v>43</v>
      </c>
      <c r="C11" s="156" t="str">
        <f>IF(Ladders!C32="Final Table",Ladders!C33,"Winner Group E")</f>
        <v>Winner Group E</v>
      </c>
      <c r="D11" s="157"/>
      <c r="E11" s="158"/>
      <c r="I11" s="42"/>
      <c r="J11" s="43"/>
      <c r="K11" s="57"/>
      <c r="L11" s="57"/>
      <c r="N11" s="68"/>
      <c r="O11" s="69"/>
      <c r="P11" s="52"/>
      <c r="Q11" s="52"/>
      <c r="R11" s="52"/>
      <c r="T11" s="198">
        <v>51</v>
      </c>
      <c r="U11" s="192" t="s">
        <v>257</v>
      </c>
      <c r="V11" s="66"/>
      <c r="W11" s="70">
        <f>IF(V13="","",IF(V9=V13,"(Pens)",""))</f>
      </c>
    </row>
    <row r="12" spans="2:23" ht="19.5" customHeight="1" thickBot="1" thickTop="1">
      <c r="B12" s="159"/>
      <c r="C12" s="179" t="s">
        <v>249</v>
      </c>
      <c r="D12" s="160"/>
      <c r="E12" s="161"/>
      <c r="F12" s="59"/>
      <c r="G12" s="177"/>
      <c r="H12" s="133"/>
      <c r="I12" s="137" t="str">
        <f>IF(D11="","Winner Match 43",IF(D12="","Winner Match 43",IF(D11&gt;D12,C11,IF(D11&lt;D12,C12,IF(AND(D11=D12,E12=""),"Winner Match 43",IF(AND(D11=D12,E11&gt;E12),C11,IF(AND(D11=D12,E11&lt;E12),C12,"There must be a winner!")))))))</f>
        <v>Winner Match 43</v>
      </c>
      <c r="J12" s="103"/>
      <c r="K12" s="45"/>
      <c r="L12" s="46"/>
      <c r="N12" s="71"/>
      <c r="O12" s="72"/>
      <c r="P12" s="52"/>
      <c r="Q12" s="52"/>
      <c r="R12" s="52"/>
      <c r="S12" s="56"/>
      <c r="T12" s="73">
        <f>IF(V12="","","Runners-Up:")</f>
      </c>
      <c r="U12" s="74"/>
      <c r="V12" s="75">
        <f>IF(V10="","",IF(V10=U9,U13,U9))</f>
      </c>
      <c r="W12" s="76"/>
    </row>
    <row r="13" spans="2:23" ht="19.5" customHeight="1" thickBot="1" thickTop="1">
      <c r="B13" s="196">
        <v>44</v>
      </c>
      <c r="C13" s="156" t="str">
        <f>IF(Ladders!C25="Final Table",Ladders!C26,"Winner Group D")</f>
        <v>Winner Group D</v>
      </c>
      <c r="D13" s="157"/>
      <c r="E13" s="158"/>
      <c r="H13" s="197">
        <v>47</v>
      </c>
      <c r="I13" s="47" t="s">
        <v>253</v>
      </c>
      <c r="J13" s="48"/>
      <c r="K13" s="49">
        <f>IF(J14="","",IF(J12=J14,"(Pens)",""))</f>
      </c>
      <c r="L13" s="50"/>
      <c r="M13" s="51"/>
      <c r="O13" s="42"/>
      <c r="R13" s="58"/>
      <c r="T13" s="138"/>
      <c r="U13" s="139" t="str">
        <f>IF(P16="","Winner Match 50",IF(P14&gt;P16,O14,IF(P14&lt;P16,O16,IF(AND(P14=P16,Q16=""),"Winner Match 50",IF(AND(P14=P16,Q14&gt;Q16),O14,IF(AND(P14=P16,Q14&lt;Q16),O16,"There must be a winner!"))))))</f>
        <v>Winner Match 50</v>
      </c>
      <c r="V13" s="141"/>
      <c r="W13" s="77"/>
    </row>
    <row r="14" spans="2:18" ht="19.5" customHeight="1" thickBot="1" thickTop="1">
      <c r="B14" s="138"/>
      <c r="C14" s="139" t="str">
        <f>IF(Ladders!C39="Final Table",Ladders!C41,"Runner-Up Group F")</f>
        <v>Runner-Up Group F</v>
      </c>
      <c r="D14" s="141"/>
      <c r="E14" s="77"/>
      <c r="F14" s="59"/>
      <c r="G14" s="155"/>
      <c r="H14" s="135"/>
      <c r="I14" s="136" t="str">
        <f>IF(D13="","Winner Match 44",IF(D14="","Winner Match 44",IF(D13&gt;D14,C13,IF(D13&lt;D14,C14,IF(AND(D13=D14,E14=""),"Winner Match 44",IF(AND(D13=D14,E13&gt;E14),C13,IF(AND(D13=D14,E13&lt;E14),C14,"There must be a winner!")))))))</f>
        <v>Winner Match 44</v>
      </c>
      <c r="J14" s="60"/>
      <c r="K14" s="53"/>
      <c r="L14" s="46"/>
      <c r="M14" s="54"/>
      <c r="N14" s="133"/>
      <c r="O14" s="137" t="str">
        <f>IF(J12="","Winner Match 47",IF(J14="","Winner Match 47",IF(J12&gt;J14,I12,IF(J12&lt;J14,I14,IF(AND(J12=J14,K14=""),"Winner Match 47",IF(AND(J12=J14,K12&gt;K14),I12,IF(AND(J12=J14,K12&lt;K14),I14,"There must be a winner!")))))))</f>
        <v>Winner Match 47</v>
      </c>
      <c r="P14" s="103"/>
      <c r="Q14" s="45"/>
      <c r="R14" s="58"/>
    </row>
    <row r="15" spans="2:18" ht="19.5" customHeight="1" thickBot="1" thickTop="1">
      <c r="B15" s="196">
        <v>40</v>
      </c>
      <c r="C15" s="156" t="str">
        <f>IF(Ladders!C18="Final Table",Ladders!C19,"Winner Group C")</f>
        <v>Winner Group C</v>
      </c>
      <c r="D15" s="157"/>
      <c r="E15" s="158"/>
      <c r="I15" s="42"/>
      <c r="J15" s="43"/>
      <c r="K15" s="57"/>
      <c r="M15" s="166"/>
      <c r="N15" s="197">
        <v>50</v>
      </c>
      <c r="O15" s="47" t="s">
        <v>256</v>
      </c>
      <c r="P15" s="48"/>
      <c r="Q15" s="49">
        <f>IF(P16="","",IF(P14=P16,"(Pens)",""))</f>
      </c>
      <c r="R15" s="78"/>
    </row>
    <row r="16" spans="2:17" ht="19.5" customHeight="1" thickBot="1" thickTop="1">
      <c r="B16" s="159"/>
      <c r="C16" s="179" t="s">
        <v>250</v>
      </c>
      <c r="D16" s="160"/>
      <c r="E16" s="161"/>
      <c r="F16" s="59"/>
      <c r="G16" s="177"/>
      <c r="H16" s="133"/>
      <c r="I16" s="137" t="str">
        <f>IF(D15="","Winner Match 40",IF(D16="","Winner Match 40",IF(D15&gt;D16,C15,IF(D15&lt;D16,C16,IF(AND(D15=D16,E16=""),"Winner Match 40",IF(AND(D15=D16,E15&gt;E16),C15,IF(AND(D15=D16,E15&lt;E16),C16,"There must be a winner!")))))))</f>
        <v>Winner Match 40</v>
      </c>
      <c r="J16" s="103"/>
      <c r="K16" s="45"/>
      <c r="L16" s="46"/>
      <c r="M16" s="59"/>
      <c r="N16" s="135"/>
      <c r="O16" s="136" t="str">
        <f>IF(J16="","Winner Match 48",IF(J18="","Winner Match 48",IF(J16&gt;J18,I16,IF(J16&lt;J18,I18,IF(AND(J16=J18,K18=""),"Winner Match 48",IF(AND(J16=J18,K16&gt;K18),I16,IF(AND(J16=J18,K16&lt;K18),I18,"There must be a winner!")))))))</f>
        <v>Winner Match 48</v>
      </c>
      <c r="P16" s="60"/>
      <c r="Q16" s="53"/>
    </row>
    <row r="17" spans="2:13" ht="19.5" customHeight="1" thickBot="1">
      <c r="B17" s="196">
        <v>38</v>
      </c>
      <c r="C17" s="156" t="str">
        <f>IF(Ladders!C4="Final Table",Ladders!C6,"Runner-Up Group A")</f>
        <v>Runner-Up Group A</v>
      </c>
      <c r="D17" s="157"/>
      <c r="E17" s="158"/>
      <c r="H17" s="197">
        <v>48</v>
      </c>
      <c r="I17" s="47" t="s">
        <v>254</v>
      </c>
      <c r="J17" s="48"/>
      <c r="K17" s="49">
        <f>IF(J18="","",IF(J16=J18,"(Pens)",""))</f>
      </c>
      <c r="L17" s="61"/>
      <c r="M17" s="51"/>
    </row>
    <row r="18" spans="2:27" ht="19.5" customHeight="1" thickBot="1" thickTop="1">
      <c r="B18" s="162"/>
      <c r="C18" s="163" t="str">
        <f>IF(Ladders!C11="Final Table",Ladders!C13,"Runner-Up Group B")</f>
        <v>Runner-Up Group B</v>
      </c>
      <c r="D18" s="164"/>
      <c r="E18" s="165"/>
      <c r="F18" s="59"/>
      <c r="G18" s="155"/>
      <c r="H18" s="135"/>
      <c r="I18" s="136" t="str">
        <f>IF(D17="","Winner Match 38",IF(D18="","Winner Match 38",IF(D17&gt;D18,C17,IF(D17&lt;D18,C18,IF(AND(D17=D18,E18=""),"Winner Match 38",IF(AND(D17=D18,E17&gt;E18),C17,IF(AND(D17=D18,E17&lt;E18),C18,"There must be a winner!")))))))</f>
        <v>Winner Match 38</v>
      </c>
      <c r="J18" s="60"/>
      <c r="K18" s="53"/>
      <c r="L18" s="46"/>
      <c r="O18" s="79"/>
      <c r="AA18" s="55">
        <f>IF(V16="","",IF(V18="","",IF(V16&gt;V18,U16,IF(V16&lt;V18,U18,IF(AND(V16=V18,W18=""),"",IF(AND(V16=V18,W16&gt;W18),U16,IF(AND(V16=V18,W16&lt;W18),U18,"There must be a winner!")))))))</f>
      </c>
    </row>
    <row r="19" spans="9:15" ht="12.75">
      <c r="I19" s="97"/>
      <c r="O19" s="79"/>
    </row>
    <row r="21" spans="2:4" ht="12.75">
      <c r="B21"/>
      <c r="C21"/>
      <c r="D21"/>
    </row>
    <row r="22" spans="2:4" ht="12.75">
      <c r="B22"/>
      <c r="C22"/>
      <c r="D22"/>
    </row>
    <row r="24" spans="2:14" ht="12.75">
      <c r="B24"/>
      <c r="C24"/>
      <c r="D24"/>
      <c r="E24"/>
      <c r="N24" s="194"/>
    </row>
    <row r="25" spans="2:5" ht="12.75">
      <c r="B25"/>
      <c r="C25"/>
      <c r="D25"/>
      <c r="E25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password="D825" sheet="1"/>
  <printOptions/>
  <pageMargins left="0.5905511811023623" right="0.4724409448818898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Header>&amp;L&amp;8(c) McRopod Concepts 2024&amp;CEuro 2024 - Germany&amp;R&amp;8www.mcropod.com.au</oddHeader>
    <oddFooter>&amp;L&amp;8www.mcropod.com.au&amp;C&amp;A&amp;R&amp;8&amp;F  &amp;D  &amp;T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K12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80" customWidth="1"/>
  </cols>
  <sheetData>
    <row r="1" spans="2:11" s="6" customFormat="1" ht="34.5" customHeight="1">
      <c r="B1" s="5"/>
      <c r="E1" s="7"/>
      <c r="F1" s="8"/>
      <c r="G1" s="9"/>
      <c r="H1" s="5"/>
      <c r="J1" s="5"/>
      <c r="K1" s="102" t="s">
        <v>245</v>
      </c>
    </row>
    <row r="4" ht="11.25">
      <c r="B4" s="85" t="s">
        <v>246</v>
      </c>
    </row>
    <row r="5" ht="7.5" customHeight="1">
      <c r="B5" s="86"/>
    </row>
    <row r="6" ht="11.25">
      <c r="B6" s="86" t="s">
        <v>34</v>
      </c>
    </row>
    <row r="7" ht="11.25">
      <c r="B7" s="86" t="s">
        <v>35</v>
      </c>
    </row>
    <row r="8" ht="11.25">
      <c r="B8" s="86" t="s">
        <v>128</v>
      </c>
    </row>
    <row r="9" ht="7.5" customHeight="1">
      <c r="B9" s="85"/>
    </row>
    <row r="10" ht="11.25">
      <c r="B10" s="85" t="s">
        <v>36</v>
      </c>
    </row>
    <row r="11" ht="11.25">
      <c r="B11" s="86" t="s">
        <v>37</v>
      </c>
    </row>
    <row r="12" ht="11.25">
      <c r="B12" s="85"/>
    </row>
    <row r="13" ht="11.25">
      <c r="B13" s="85" t="s">
        <v>262</v>
      </c>
    </row>
    <row r="14" ht="11.25">
      <c r="B14" s="85" t="s">
        <v>279</v>
      </c>
    </row>
    <row r="15" ht="11.25">
      <c r="B15" s="85" t="s">
        <v>280</v>
      </c>
    </row>
    <row r="16" ht="11.25">
      <c r="B16" s="86"/>
    </row>
    <row r="17" ht="11.25" customHeight="1">
      <c r="B17" s="89" t="s">
        <v>38</v>
      </c>
    </row>
    <row r="18" ht="11.25">
      <c r="B18" s="86"/>
    </row>
    <row r="19" ht="11.25" customHeight="1">
      <c r="B19" s="91" t="s">
        <v>39</v>
      </c>
    </row>
    <row r="20" ht="11.25">
      <c r="B20" s="90"/>
    </row>
    <row r="21" ht="7.5" customHeight="1">
      <c r="B21" s="85" t="s">
        <v>40</v>
      </c>
    </row>
    <row r="22" ht="11.25">
      <c r="B22" s="86"/>
    </row>
    <row r="23" ht="11.25">
      <c r="B23" s="86" t="s">
        <v>41</v>
      </c>
    </row>
    <row r="24" ht="7.5" customHeight="1">
      <c r="B24" s="86"/>
    </row>
    <row r="25" ht="11.25">
      <c r="B25" s="86" t="s">
        <v>42</v>
      </c>
    </row>
    <row r="26" ht="11.25">
      <c r="B26" s="86" t="s">
        <v>43</v>
      </c>
    </row>
    <row r="27" ht="11.25">
      <c r="B27" s="85"/>
    </row>
    <row r="28" ht="11.25">
      <c r="B28" s="86" t="s">
        <v>44</v>
      </c>
    </row>
    <row r="29" ht="11.25">
      <c r="B29" s="85" t="s">
        <v>45</v>
      </c>
    </row>
    <row r="30" ht="11.25" customHeight="1">
      <c r="B30" s="85" t="s">
        <v>46</v>
      </c>
    </row>
    <row r="31" ht="11.25">
      <c r="B31" s="86"/>
    </row>
    <row r="32" ht="11.25" customHeight="1">
      <c r="B32" s="91" t="s">
        <v>47</v>
      </c>
    </row>
    <row r="33" ht="7.5" customHeight="1">
      <c r="B33" s="86"/>
    </row>
    <row r="34" ht="11.25">
      <c r="B34" s="85" t="s">
        <v>48</v>
      </c>
    </row>
    <row r="35" ht="11.25" customHeight="1">
      <c r="B35" s="85" t="s">
        <v>49</v>
      </c>
    </row>
    <row r="36" ht="11.25">
      <c r="B36" s="86"/>
    </row>
    <row r="37" ht="11.25">
      <c r="B37" s="85" t="s">
        <v>50</v>
      </c>
    </row>
    <row r="38" ht="7.5" customHeight="1">
      <c r="B38" s="86"/>
    </row>
    <row r="39" ht="11.25">
      <c r="B39" s="86" t="s">
        <v>51</v>
      </c>
    </row>
    <row r="40" ht="11.25">
      <c r="B40" s="86" t="s">
        <v>129</v>
      </c>
    </row>
    <row r="41" ht="11.25">
      <c r="B41" s="86"/>
    </row>
    <row r="42" ht="11.25" customHeight="1">
      <c r="B42" s="86" t="s">
        <v>52</v>
      </c>
    </row>
    <row r="43" ht="11.25">
      <c r="B43" s="86" t="s">
        <v>53</v>
      </c>
    </row>
    <row r="44" ht="11.25">
      <c r="B44" s="87" t="s">
        <v>54</v>
      </c>
    </row>
    <row r="45" ht="11.25">
      <c r="B45" s="86"/>
    </row>
    <row r="46" ht="11.25" customHeight="1">
      <c r="B46" s="86" t="s">
        <v>55</v>
      </c>
    </row>
    <row r="47" ht="11.25">
      <c r="B47" s="86" t="s">
        <v>56</v>
      </c>
    </row>
    <row r="48" ht="11.25">
      <c r="B48" s="86" t="s">
        <v>57</v>
      </c>
    </row>
    <row r="49" ht="11.25">
      <c r="B49" s="86"/>
    </row>
    <row r="50" ht="11.25">
      <c r="B50" s="85" t="s">
        <v>58</v>
      </c>
    </row>
    <row r="51" ht="11.25">
      <c r="B51" s="86" t="s">
        <v>59</v>
      </c>
    </row>
    <row r="52" ht="11.25" customHeight="1">
      <c r="B52" s="85" t="s">
        <v>60</v>
      </c>
    </row>
    <row r="53" ht="11.25" customHeight="1">
      <c r="B53" s="85" t="s">
        <v>61</v>
      </c>
    </row>
    <row r="54" ht="11.25">
      <c r="B54" s="85" t="s">
        <v>62</v>
      </c>
    </row>
    <row r="55" ht="11.25">
      <c r="B55" s="86"/>
    </row>
    <row r="56" ht="11.25" customHeight="1">
      <c r="B56" s="86" t="s">
        <v>63</v>
      </c>
    </row>
    <row r="57" ht="11.25">
      <c r="B57" s="85" t="s">
        <v>64</v>
      </c>
    </row>
    <row r="58" ht="11.25">
      <c r="B58" s="85" t="s">
        <v>65</v>
      </c>
    </row>
    <row r="59" ht="11.25">
      <c r="B59" s="86"/>
    </row>
    <row r="60" ht="11.25" customHeight="1">
      <c r="B60" s="86" t="s">
        <v>66</v>
      </c>
    </row>
    <row r="61" ht="11.25">
      <c r="B61" s="86" t="s">
        <v>67</v>
      </c>
    </row>
    <row r="62" ht="11.25">
      <c r="B62" s="86" t="s">
        <v>68</v>
      </c>
    </row>
    <row r="63" ht="11.25">
      <c r="B63" s="86"/>
    </row>
    <row r="64" ht="11.25" customHeight="1">
      <c r="B64" s="86" t="s">
        <v>69</v>
      </c>
    </row>
    <row r="65" ht="11.25" customHeight="1">
      <c r="B65" s="86" t="s">
        <v>70</v>
      </c>
    </row>
    <row r="66" ht="11.25" customHeight="1">
      <c r="B66" s="87" t="s">
        <v>71</v>
      </c>
    </row>
    <row r="67" ht="11.25">
      <c r="B67" s="85"/>
    </row>
    <row r="68" ht="11.25">
      <c r="B68" s="86" t="s">
        <v>72</v>
      </c>
    </row>
    <row r="69" ht="11.25">
      <c r="B69" s="86"/>
    </row>
    <row r="70" ht="11.25" customHeight="1">
      <c r="B70" s="86" t="s">
        <v>73</v>
      </c>
    </row>
    <row r="71" spans="2:3" ht="11.25">
      <c r="B71" s="86"/>
      <c r="C71" s="6"/>
    </row>
    <row r="72" spans="2:3" ht="11.25" customHeight="1">
      <c r="B72" s="91" t="s">
        <v>74</v>
      </c>
      <c r="C72" s="6"/>
    </row>
    <row r="73" spans="2:3" ht="11.25">
      <c r="B73" s="86"/>
      <c r="C73" s="6"/>
    </row>
    <row r="74" spans="2:3" ht="11.25" customHeight="1">
      <c r="B74" s="85" t="s">
        <v>75</v>
      </c>
      <c r="C74" s="6"/>
    </row>
    <row r="75" spans="2:3" ht="11.25">
      <c r="B75" s="85" t="s">
        <v>76</v>
      </c>
      <c r="C75" s="6"/>
    </row>
    <row r="76" spans="2:3" ht="11.25">
      <c r="B76" s="87" t="s">
        <v>77</v>
      </c>
      <c r="C76" s="6"/>
    </row>
    <row r="77" spans="2:3" ht="11.25">
      <c r="B77" s="86"/>
      <c r="C77" s="6"/>
    </row>
    <row r="78" spans="2:3" ht="11.25">
      <c r="B78" s="86" t="s">
        <v>78</v>
      </c>
      <c r="C78" s="6"/>
    </row>
    <row r="79" spans="2:3" ht="11.25" customHeight="1">
      <c r="B79" s="86" t="s">
        <v>79</v>
      </c>
      <c r="C79" s="6"/>
    </row>
    <row r="80" spans="2:3" ht="11.25" customHeight="1">
      <c r="B80" s="86" t="s">
        <v>80</v>
      </c>
      <c r="C80" s="6"/>
    </row>
    <row r="81" spans="2:3" ht="11.25" customHeight="1">
      <c r="B81" s="86" t="s">
        <v>81</v>
      </c>
      <c r="C81" s="6"/>
    </row>
    <row r="82" spans="2:3" ht="11.25">
      <c r="B82" s="86"/>
      <c r="C82" s="6"/>
    </row>
    <row r="83" spans="2:3" ht="11.25">
      <c r="B83" s="86" t="s">
        <v>82</v>
      </c>
      <c r="C83" s="6"/>
    </row>
    <row r="84" spans="2:3" ht="11.25">
      <c r="B84" s="86"/>
      <c r="C84" s="6"/>
    </row>
    <row r="85" spans="2:3" ht="11.25">
      <c r="B85" s="86" t="s">
        <v>83</v>
      </c>
      <c r="C85" s="6"/>
    </row>
    <row r="86" spans="2:3" ht="11.25">
      <c r="B86" s="86" t="s">
        <v>84</v>
      </c>
      <c r="C86" s="6"/>
    </row>
    <row r="87" spans="2:3" ht="11.25" customHeight="1">
      <c r="B87" s="86" t="s">
        <v>85</v>
      </c>
      <c r="C87" s="6"/>
    </row>
    <row r="88" spans="2:3" ht="11.25">
      <c r="B88" s="86" t="s">
        <v>86</v>
      </c>
      <c r="C88" s="6"/>
    </row>
    <row r="89" spans="2:3" ht="11.25">
      <c r="B89" s="86" t="s">
        <v>87</v>
      </c>
      <c r="C89" s="6"/>
    </row>
    <row r="90" spans="2:3" ht="11.25">
      <c r="B90" s="86"/>
      <c r="C90" s="6"/>
    </row>
    <row r="91" spans="2:3" ht="11.25" customHeight="1">
      <c r="B91" s="86" t="s">
        <v>146</v>
      </c>
      <c r="C91" s="6"/>
    </row>
    <row r="92" spans="2:3" ht="11.25">
      <c r="B92" s="87" t="s">
        <v>88</v>
      </c>
      <c r="C92" s="6"/>
    </row>
    <row r="93" spans="2:3" ht="11.25">
      <c r="B93" s="85" t="s">
        <v>89</v>
      </c>
      <c r="C93" s="6"/>
    </row>
    <row r="94" spans="2:3" ht="7.5" customHeight="1">
      <c r="B94" s="87" t="s">
        <v>90</v>
      </c>
      <c r="C94" s="6"/>
    </row>
    <row r="95" spans="2:3" ht="11.25">
      <c r="B95" s="86" t="s">
        <v>91</v>
      </c>
      <c r="C95" s="6"/>
    </row>
    <row r="96" spans="2:3" ht="11.25" customHeight="1">
      <c r="B96" s="86" t="s">
        <v>92</v>
      </c>
      <c r="C96" s="6"/>
    </row>
    <row r="97" spans="2:3" ht="11.25">
      <c r="B97" s="86"/>
      <c r="C97" s="6"/>
    </row>
    <row r="98" spans="2:3" ht="11.25">
      <c r="B98" s="86" t="s">
        <v>93</v>
      </c>
      <c r="C98" s="6"/>
    </row>
    <row r="99" spans="2:3" ht="7.5" customHeight="1">
      <c r="B99" s="86"/>
      <c r="C99" s="6"/>
    </row>
    <row r="100" spans="2:3" ht="11.25">
      <c r="B100" s="86" t="s">
        <v>42</v>
      </c>
      <c r="C100" s="6"/>
    </row>
    <row r="101" spans="2:3" ht="11.25">
      <c r="B101" s="86" t="s">
        <v>43</v>
      </c>
      <c r="C101" s="6"/>
    </row>
    <row r="102" spans="2:3" ht="7.5" customHeight="1">
      <c r="B102" s="85"/>
      <c r="C102" s="6"/>
    </row>
    <row r="103" spans="2:3" ht="11.25">
      <c r="B103" s="86" t="s">
        <v>44</v>
      </c>
      <c r="C103" s="6"/>
    </row>
    <row r="104" spans="2:3" ht="11.25">
      <c r="B104" s="85" t="s">
        <v>94</v>
      </c>
      <c r="C104" s="6"/>
    </row>
    <row r="105" spans="2:3" ht="11.25">
      <c r="B105" s="85" t="s">
        <v>95</v>
      </c>
      <c r="C105" s="6"/>
    </row>
    <row r="106" spans="2:3" ht="11.25" customHeight="1">
      <c r="B106" s="86" t="s">
        <v>285</v>
      </c>
      <c r="C106" s="6"/>
    </row>
    <row r="107" spans="2:3" ht="11.25">
      <c r="B107" s="86"/>
      <c r="C107" s="6"/>
    </row>
    <row r="108" spans="2:3" ht="11.25">
      <c r="B108" s="91" t="s">
        <v>96</v>
      </c>
      <c r="C108" s="6"/>
    </row>
    <row r="109" spans="2:3" ht="7.5" customHeight="1">
      <c r="B109" s="86"/>
      <c r="C109" s="6"/>
    </row>
    <row r="110" spans="2:3" ht="11.25">
      <c r="B110" s="86" t="s">
        <v>97</v>
      </c>
      <c r="C110" s="6"/>
    </row>
    <row r="111" spans="2:3" ht="11.25">
      <c r="B111" s="86" t="s">
        <v>98</v>
      </c>
      <c r="C111" s="6"/>
    </row>
    <row r="112" spans="2:3" ht="11.25">
      <c r="B112" s="86"/>
      <c r="C112" s="6"/>
    </row>
    <row r="113" spans="2:3" ht="11.25">
      <c r="B113" s="86" t="s">
        <v>118</v>
      </c>
      <c r="C113" s="6"/>
    </row>
    <row r="114" spans="2:3" ht="11.25">
      <c r="B114" s="86"/>
      <c r="C114" s="6"/>
    </row>
    <row r="115" spans="2:3" ht="11.25">
      <c r="B115" s="86"/>
      <c r="C115" s="6"/>
    </row>
    <row r="116" spans="2:3" ht="11.25">
      <c r="B116" s="86"/>
      <c r="C116" s="6"/>
    </row>
    <row r="117" spans="2:3" ht="11.25">
      <c r="B117" s="86"/>
      <c r="C117" s="6"/>
    </row>
    <row r="118" ht="11.25">
      <c r="B118" s="88" t="s">
        <v>99</v>
      </c>
    </row>
    <row r="119" ht="11.25">
      <c r="B119" s="86" t="s">
        <v>100</v>
      </c>
    </row>
    <row r="120" ht="11.25">
      <c r="B120" s="6"/>
    </row>
  </sheetData>
  <sheetProtection password="D825" sheet="1" objects="1" scenarios="1"/>
  <printOptions horizontalCentered="1"/>
  <pageMargins left="0.7480314960629921" right="0.7480314960629921" top="1.299212598425197" bottom="0.984251968503937" header="0.5118110236220472" footer="0.5118110236220472"/>
  <pageSetup fitToHeight="2" fitToWidth="1" horizontalDpi="300" verticalDpi="300" orientation="portrait" paperSize="9" r:id="rId2"/>
  <headerFooter alignWithMargins="0">
    <oddHeader>&amp;L&amp;8(c) McRopod Concepts 2024&amp;CEuro 2024 - Germany&amp;R&amp;8www.mcropod.com.au</oddHeader>
    <oddFooter>&amp;L&amp;8www.mcropod.com.au&amp;C&amp;A&amp;R&amp;8&amp;F  &amp;D  &amp;T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4:Q54"/>
  <sheetViews>
    <sheetView showGridLines="0" showRowColHeaders="0" zoomScalePageLayoutView="0" workbookViewId="0" topLeftCell="A27">
      <selection activeCell="B54" sqref="B54"/>
    </sheetView>
  </sheetViews>
  <sheetFormatPr defaultColWidth="9.140625" defaultRowHeight="12.75"/>
  <cols>
    <col min="1" max="1" width="2.140625" style="2" customWidth="1"/>
    <col min="2" max="2" width="14.57421875" style="3" hidden="1" customWidth="1"/>
    <col min="3" max="10" width="4.7109375" style="2" hidden="1" customWidth="1"/>
    <col min="11" max="12" width="4.7109375" style="1" hidden="1" customWidth="1"/>
    <col min="13" max="16" width="8.7109375" style="2" hidden="1" customWidth="1"/>
    <col min="17" max="17" width="6.421875" style="3" hidden="1" customWidth="1"/>
    <col min="18" max="16384" width="9.140625" style="2" customWidth="1"/>
  </cols>
  <sheetData>
    <row r="4" spans="2:12" ht="11.25">
      <c r="B4" s="3" t="str">
        <f>Grid!$B$2</f>
        <v>Incomplete</v>
      </c>
      <c r="C4" s="1" t="str">
        <f>Grid!$M$2</f>
        <v>P</v>
      </c>
      <c r="D4" s="1" t="str">
        <f>Grid!$N$2</f>
        <v>W</v>
      </c>
      <c r="E4" s="1" t="str">
        <f>Grid!$O$2</f>
        <v>D</v>
      </c>
      <c r="F4" s="1" t="str">
        <f>Grid!$P$2</f>
        <v>L</v>
      </c>
      <c r="G4" s="1" t="str">
        <f>Grid!$Q$2</f>
        <v>F</v>
      </c>
      <c r="H4" s="1" t="str">
        <f>Grid!$R$2</f>
        <v>A</v>
      </c>
      <c r="I4" s="1" t="str">
        <f>Grid!$S$2</f>
        <v>GD</v>
      </c>
      <c r="J4" s="1" t="str">
        <f>Grid!$T$2</f>
        <v>Pts</v>
      </c>
      <c r="K4" s="1" t="s">
        <v>101</v>
      </c>
      <c r="L4" s="1" t="s">
        <v>102</v>
      </c>
    </row>
    <row r="5" spans="2:17" ht="11.25">
      <c r="B5" s="3" t="str">
        <f>Grid!$B$3</f>
        <v>Scotland</v>
      </c>
      <c r="C5" s="1">
        <f>Grid!$M$3</f>
        <v>0</v>
      </c>
      <c r="D5" s="1">
        <f>Grid!$N$3</f>
        <v>0</v>
      </c>
      <c r="E5" s="1">
        <f>Grid!$O$3</f>
        <v>0</v>
      </c>
      <c r="F5" s="1">
        <f>Grid!$P$3</f>
        <v>0</v>
      </c>
      <c r="G5" s="1">
        <f>Grid!$Q$3</f>
        <v>0</v>
      </c>
      <c r="H5" s="1">
        <f>Grid!$R$3</f>
        <v>0</v>
      </c>
      <c r="I5" s="1">
        <f>Grid!$S$3</f>
        <v>0</v>
      </c>
      <c r="J5" s="1">
        <f>Grid!$T$3</f>
        <v>0</v>
      </c>
      <c r="K5" s="1">
        <v>1</v>
      </c>
      <c r="L5" s="1">
        <v>1</v>
      </c>
      <c r="M5" s="1">
        <f>IF(J6&gt;J5,1,IF(J7&gt;J5,1,IF(J8&gt;J5,1,IF(J7&gt;J6,1,IF(J8&gt;J6,1,IF(J8&gt;J7,1,0))))))</f>
        <v>0</v>
      </c>
      <c r="N5" s="1">
        <f>IF(AND(J5=J6,I5=I6),1,0)</f>
        <v>1</v>
      </c>
      <c r="O5" s="1">
        <f>IF(AND(N5=1,G5=G6),1,0)</f>
        <v>1</v>
      </c>
      <c r="P5" s="1">
        <f>SUM(N5+O5)</f>
        <v>2</v>
      </c>
      <c r="Q5" s="3" t="str">
        <f>IF(P5=2,"1&gt;2 ?","")</f>
        <v>1&gt;2 ?</v>
      </c>
    </row>
    <row r="6" spans="2:17" ht="11.25">
      <c r="B6" s="3" t="str">
        <f>Grid!$B$5</f>
        <v>Germany</v>
      </c>
      <c r="C6" s="1">
        <f>Grid!$M$5</f>
        <v>0</v>
      </c>
      <c r="D6" s="1">
        <f>Grid!$N$5</f>
        <v>0</v>
      </c>
      <c r="E6" s="1">
        <f>Grid!$O$5</f>
        <v>0</v>
      </c>
      <c r="F6" s="1">
        <f>Grid!$P$5</f>
        <v>0</v>
      </c>
      <c r="G6" s="1">
        <f>Grid!$Q$5</f>
        <v>0</v>
      </c>
      <c r="H6" s="1">
        <f>Grid!$R$5</f>
        <v>0</v>
      </c>
      <c r="I6" s="1">
        <f>Grid!$S$5</f>
        <v>0</v>
      </c>
      <c r="J6" s="1">
        <f>Grid!$T$5</f>
        <v>0</v>
      </c>
      <c r="K6" s="1">
        <v>2</v>
      </c>
      <c r="L6" s="1">
        <v>2</v>
      </c>
      <c r="M6" s="1">
        <f>IF(AND(J6=J5,I6&gt;I5),1,IF(AND(J7=J5,I7&gt;I5),1,IF(AND(J8=J5,I8&gt;I5),1,IF(AND(J7=J6,I7&gt;I6),1,IF(AND(J8=J6,I8&gt;I6),1,IF(AND(J8=J7,I8&gt;I7),1,0))))))</f>
        <v>0</v>
      </c>
      <c r="N6" s="1">
        <f>IF(AND(J6=J7,I6=I7),1,0)</f>
        <v>1</v>
      </c>
      <c r="O6" s="1">
        <f>IF(AND(N6=1,G6=G7),1,0)</f>
        <v>1</v>
      </c>
      <c r="P6" s="1">
        <f>SUM(N6+O6)</f>
        <v>2</v>
      </c>
      <c r="Q6" s="3" t="str">
        <f>IF(P6=2,"2&gt;3 ?","")</f>
        <v>2&gt;3 ?</v>
      </c>
    </row>
    <row r="7" spans="2:17" ht="11.25">
      <c r="B7" s="3" t="str">
        <f>Grid!$B$6</f>
        <v>Hungary</v>
      </c>
      <c r="C7" s="1">
        <f>Grid!$M$6</f>
        <v>0</v>
      </c>
      <c r="D7" s="1">
        <f>Grid!$N$6</f>
        <v>0</v>
      </c>
      <c r="E7" s="1">
        <f>Grid!$O$6</f>
        <v>0</v>
      </c>
      <c r="F7" s="1">
        <f>Grid!$P$6</f>
        <v>0</v>
      </c>
      <c r="G7" s="1">
        <f>Grid!$Q$6</f>
        <v>0</v>
      </c>
      <c r="H7" s="1">
        <f>Grid!$R$6</f>
        <v>0</v>
      </c>
      <c r="I7" s="1">
        <f>Grid!$S$6</f>
        <v>0</v>
      </c>
      <c r="J7" s="1">
        <f>Grid!$T$6</f>
        <v>0</v>
      </c>
      <c r="K7" s="1">
        <v>3</v>
      </c>
      <c r="L7" s="1">
        <v>3</v>
      </c>
      <c r="N7" s="1">
        <f>IF(AND(J7=J8,I7=I8),1,0)</f>
        <v>1</v>
      </c>
      <c r="O7" s="1">
        <f>IF(AND(N7=1,G7=G8),1,0)</f>
        <v>1</v>
      </c>
      <c r="P7" s="1">
        <f>SUM(N7+O7)</f>
        <v>2</v>
      </c>
      <c r="Q7" s="3" t="str">
        <f>IF(P7=2,"3&gt;4 ?","")</f>
        <v>3&gt;4 ?</v>
      </c>
    </row>
    <row r="8" spans="2:17" ht="11.25">
      <c r="B8" s="3" t="str">
        <f>Grid!$B$4</f>
        <v>Switzerland</v>
      </c>
      <c r="C8" s="1">
        <f>Grid!$M$4</f>
        <v>0</v>
      </c>
      <c r="D8" s="1">
        <f>Grid!$N$4</f>
        <v>0</v>
      </c>
      <c r="E8" s="1">
        <f>Grid!$O$4</f>
        <v>0</v>
      </c>
      <c r="F8" s="1">
        <f>Grid!$P$4</f>
        <v>0</v>
      </c>
      <c r="G8" s="1">
        <f>Grid!$Q$4</f>
        <v>0</v>
      </c>
      <c r="H8" s="1">
        <f>Grid!$R$4</f>
        <v>0</v>
      </c>
      <c r="I8" s="1">
        <f>Grid!$S$4</f>
        <v>0</v>
      </c>
      <c r="J8" s="1">
        <f>Grid!$T$4</f>
        <v>0</v>
      </c>
      <c r="K8" s="1">
        <v>4</v>
      </c>
      <c r="L8" s="1">
        <v>4</v>
      </c>
      <c r="P8" s="1"/>
      <c r="Q8" s="3" t="str">
        <f>IF(SUM(P5:P7)=0,"Table OK","Swap?")</f>
        <v>Swap?</v>
      </c>
    </row>
    <row r="9" spans="13:15" ht="11.25">
      <c r="M9" s="1">
        <f>IF(SUM(M5:M8)=0,"","Sort Table")</f>
      </c>
      <c r="N9" s="1"/>
      <c r="O9" s="1"/>
    </row>
    <row r="11" spans="2:12" ht="11.25">
      <c r="B11" s="3" t="str">
        <f>Grid!$B$9</f>
        <v>Incomplete</v>
      </c>
      <c r="C11" s="1" t="str">
        <f>Grid!$M$9</f>
        <v>P</v>
      </c>
      <c r="D11" s="1" t="str">
        <f>Grid!$N$9</f>
        <v>W</v>
      </c>
      <c r="E11" s="1" t="str">
        <f>Grid!$O$9</f>
        <v>D</v>
      </c>
      <c r="F11" s="1" t="str">
        <f>Grid!$P$9</f>
        <v>L</v>
      </c>
      <c r="G11" s="1" t="str">
        <f>Grid!$Q$9</f>
        <v>F</v>
      </c>
      <c r="H11" s="1" t="str">
        <f>Grid!$R$9</f>
        <v>A</v>
      </c>
      <c r="I11" s="1" t="str">
        <f>Grid!$S$9</f>
        <v>GD</v>
      </c>
      <c r="J11" s="1" t="str">
        <f>Grid!$T$9</f>
        <v>Pts</v>
      </c>
      <c r="K11" s="1" t="s">
        <v>101</v>
      </c>
      <c r="L11" s="1" t="s">
        <v>102</v>
      </c>
    </row>
    <row r="12" spans="2:17" ht="11.25">
      <c r="B12" s="3" t="str">
        <f>Grid!$B$10</f>
        <v>Spain</v>
      </c>
      <c r="C12" s="1">
        <f>Grid!$M$10</f>
        <v>0</v>
      </c>
      <c r="D12" s="1">
        <f>Grid!$N$10</f>
        <v>0</v>
      </c>
      <c r="E12" s="1">
        <f>Grid!$O$10</f>
        <v>0</v>
      </c>
      <c r="F12" s="1">
        <f>Grid!$P$10</f>
        <v>0</v>
      </c>
      <c r="G12" s="1">
        <f>Grid!$Q$10</f>
        <v>0</v>
      </c>
      <c r="H12" s="1">
        <f>Grid!$R$10</f>
        <v>0</v>
      </c>
      <c r="I12" s="1">
        <f>Grid!$S$10</f>
        <v>0</v>
      </c>
      <c r="J12" s="1">
        <f>Grid!$T$10</f>
        <v>0</v>
      </c>
      <c r="K12" s="1">
        <v>1</v>
      </c>
      <c r="L12" s="1">
        <v>1</v>
      </c>
      <c r="M12" s="1">
        <f>IF(J13&gt;J12,1,IF(J14&gt;J12,1,IF(J15&gt;J12,1,IF(J14&gt;J13,1,IF(J15&gt;J13,1,IF(J15&gt;J14,1,0))))))</f>
        <v>0</v>
      </c>
      <c r="N12" s="1">
        <f>IF(AND(J12=J13,I12=I13),1,0)</f>
        <v>1</v>
      </c>
      <c r="O12" s="1">
        <f>IF(AND(N12=1,G12=G13),1,0)</f>
        <v>1</v>
      </c>
      <c r="P12" s="1">
        <f>SUM(N12+O12)</f>
        <v>2</v>
      </c>
      <c r="Q12" s="3" t="str">
        <f>IF(P12=2,"1&gt;2 ?","")</f>
        <v>1&gt;2 ?</v>
      </c>
    </row>
    <row r="13" spans="2:17" ht="11.25">
      <c r="B13" s="3" t="str">
        <f>Grid!$B$11</f>
        <v>Italy</v>
      </c>
      <c r="C13" s="1">
        <f>Grid!$M$11</f>
        <v>0</v>
      </c>
      <c r="D13" s="1">
        <f>Grid!$N$11</f>
        <v>0</v>
      </c>
      <c r="E13" s="1">
        <f>Grid!$O$11</f>
        <v>0</v>
      </c>
      <c r="F13" s="1">
        <f>Grid!$P$11</f>
        <v>0</v>
      </c>
      <c r="G13" s="1">
        <f>Grid!$Q$11</f>
        <v>0</v>
      </c>
      <c r="H13" s="1">
        <f>Grid!$R$11</f>
        <v>0</v>
      </c>
      <c r="I13" s="1">
        <f>Grid!$S$11</f>
        <v>0</v>
      </c>
      <c r="J13" s="1">
        <f>Grid!$T$11</f>
        <v>0</v>
      </c>
      <c r="K13" s="1">
        <v>2</v>
      </c>
      <c r="L13" s="1">
        <v>2</v>
      </c>
      <c r="M13" s="1">
        <f>IF(AND(J13=J12,I13&gt;I12),1,IF(AND(J14=J12,I14&gt;I12),1,IF(AND(J15=J12,I15&gt;I12),1,IF(AND(J14=J13,I14&gt;I13),1,IF(AND(J15=J13,I15&gt;I13),1,IF(AND(J15=J14,I15&gt;I14),1,0))))))</f>
        <v>0</v>
      </c>
      <c r="N13" s="1">
        <f>IF(AND(J13=J14,I13=I14),1,0)</f>
        <v>1</v>
      </c>
      <c r="O13" s="1">
        <f>IF(AND(N13=1,G13=G14),1,0)</f>
        <v>1</v>
      </c>
      <c r="P13" s="1">
        <f>SUM(N13+O13)</f>
        <v>2</v>
      </c>
      <c r="Q13" s="3" t="str">
        <f>IF(P13=2,"2&gt;3 ?","")</f>
        <v>2&gt;3 ?</v>
      </c>
    </row>
    <row r="14" spans="2:17" ht="11.25">
      <c r="B14" s="3" t="str">
        <f>Grid!$B$12</f>
        <v>Croatia</v>
      </c>
      <c r="C14" s="1">
        <f>Grid!$M$12</f>
        <v>0</v>
      </c>
      <c r="D14" s="1">
        <f>Grid!$N$12</f>
        <v>0</v>
      </c>
      <c r="E14" s="1">
        <f>Grid!$O$12</f>
        <v>0</v>
      </c>
      <c r="F14" s="1">
        <f>Grid!$P$12</f>
        <v>0</v>
      </c>
      <c r="G14" s="1">
        <f>Grid!$Q$12</f>
        <v>0</v>
      </c>
      <c r="H14" s="1">
        <f>Grid!$R$12</f>
        <v>0</v>
      </c>
      <c r="I14" s="1">
        <f>Grid!$S$12</f>
        <v>0</v>
      </c>
      <c r="J14" s="1">
        <f>Grid!$T$12</f>
        <v>0</v>
      </c>
      <c r="K14" s="1">
        <v>3</v>
      </c>
      <c r="L14" s="1">
        <v>3</v>
      </c>
      <c r="N14" s="1">
        <f>IF(AND(J14=J15,I14=I15),1,0)</f>
        <v>1</v>
      </c>
      <c r="O14" s="1">
        <f>IF(AND(N14=1,G14=G15),1,0)</f>
        <v>1</v>
      </c>
      <c r="P14" s="1">
        <f>SUM(N14+O14)</f>
        <v>2</v>
      </c>
      <c r="Q14" s="3" t="str">
        <f>IF(P14=2,"3&gt;4 ?","")</f>
        <v>3&gt;4 ?</v>
      </c>
    </row>
    <row r="15" spans="2:17" ht="11.25">
      <c r="B15" s="3" t="str">
        <f>Grid!$B$13</f>
        <v>Albania</v>
      </c>
      <c r="C15" s="1">
        <f>Grid!$M$13</f>
        <v>0</v>
      </c>
      <c r="D15" s="1">
        <f>Grid!$N$13</f>
        <v>0</v>
      </c>
      <c r="E15" s="1">
        <f>Grid!$O$13</f>
        <v>0</v>
      </c>
      <c r="F15" s="1">
        <f>Grid!$P$13</f>
        <v>0</v>
      </c>
      <c r="G15" s="1">
        <f>Grid!$Q$13</f>
        <v>0</v>
      </c>
      <c r="H15" s="1">
        <f>Grid!$R$13</f>
        <v>0</v>
      </c>
      <c r="I15" s="1">
        <f>Grid!$S$13</f>
        <v>0</v>
      </c>
      <c r="J15" s="1">
        <f>Grid!$T$13</f>
        <v>0</v>
      </c>
      <c r="K15" s="1">
        <v>4</v>
      </c>
      <c r="L15" s="1">
        <v>4</v>
      </c>
      <c r="P15" s="1"/>
      <c r="Q15" s="3" t="str">
        <f>IF(SUM(P12:P14)=0,"Table OK","Swap?")</f>
        <v>Swap?</v>
      </c>
    </row>
    <row r="16" spans="13:15" ht="11.25">
      <c r="M16" s="1">
        <f>IF(SUM(M12:M15)=0,"","Sort Table")</f>
      </c>
      <c r="N16" s="1"/>
      <c r="O16" s="1"/>
    </row>
    <row r="18" spans="2:12" ht="11.25">
      <c r="B18" s="3" t="str">
        <f>Grid!$B$16</f>
        <v>Incomplete</v>
      </c>
      <c r="C18" s="1" t="str">
        <f>Grid!$M$16</f>
        <v>P</v>
      </c>
      <c r="D18" s="1" t="str">
        <f>Grid!$N$16</f>
        <v>W</v>
      </c>
      <c r="E18" s="1" t="str">
        <f>Grid!$O$16</f>
        <v>D</v>
      </c>
      <c r="F18" s="1" t="str">
        <f>Grid!$P$16</f>
        <v>L</v>
      </c>
      <c r="G18" s="1" t="str">
        <f>Grid!$Q$16</f>
        <v>F</v>
      </c>
      <c r="H18" s="1" t="str">
        <f>Grid!$R$16</f>
        <v>A</v>
      </c>
      <c r="I18" s="1" t="str">
        <f>Grid!$S$16</f>
        <v>GD</v>
      </c>
      <c r="J18" s="1" t="str">
        <f>Grid!$T$16</f>
        <v>Pts</v>
      </c>
      <c r="K18" s="1" t="s">
        <v>101</v>
      </c>
      <c r="L18" s="1" t="s">
        <v>102</v>
      </c>
    </row>
    <row r="19" spans="2:17" ht="11.25">
      <c r="B19" s="3" t="str">
        <f>Grid!$B$17</f>
        <v>Serbia</v>
      </c>
      <c r="C19" s="1">
        <f>Grid!$M$17</f>
        <v>0</v>
      </c>
      <c r="D19" s="1">
        <f>Grid!$N$17</f>
        <v>0</v>
      </c>
      <c r="E19" s="1">
        <f>Grid!$O$17</f>
        <v>0</v>
      </c>
      <c r="F19" s="1">
        <f>Grid!$P$17</f>
        <v>0</v>
      </c>
      <c r="G19" s="1">
        <f>Grid!$Q$17</f>
        <v>0</v>
      </c>
      <c r="H19" s="1">
        <f>Grid!$R$17</f>
        <v>0</v>
      </c>
      <c r="I19" s="1">
        <f>Grid!$S$17</f>
        <v>0</v>
      </c>
      <c r="J19" s="1">
        <f>Grid!$T$17</f>
        <v>0</v>
      </c>
      <c r="K19" s="1">
        <v>1</v>
      </c>
      <c r="L19" s="1">
        <v>1</v>
      </c>
      <c r="M19" s="1">
        <f>IF(J20&gt;J19,1,IF(J21&gt;J19,1,IF(J22&gt;J19,1,IF(J21&gt;J20,1,IF(J22&gt;J20,1,IF(J22&gt;J21,1,0))))))</f>
        <v>0</v>
      </c>
      <c r="N19" s="1">
        <f>IF(AND(J19=J20,I19=I20),1,0)</f>
        <v>1</v>
      </c>
      <c r="O19" s="1">
        <f>IF(AND(N19=1,G19=G20),1,0)</f>
        <v>1</v>
      </c>
      <c r="P19" s="1">
        <f>SUM(N19+O19)</f>
        <v>2</v>
      </c>
      <c r="Q19" s="3" t="str">
        <f>IF(P19=2,"1&gt;2 ?","")</f>
        <v>1&gt;2 ?</v>
      </c>
    </row>
    <row r="20" spans="2:17" ht="11.25">
      <c r="B20" s="3" t="str">
        <f>Grid!$B$20</f>
        <v>Denmark</v>
      </c>
      <c r="C20" s="1">
        <f>Grid!$M$20</f>
        <v>0</v>
      </c>
      <c r="D20" s="1">
        <f>Grid!$N$20</f>
        <v>0</v>
      </c>
      <c r="E20" s="1">
        <f>Grid!$O$20</f>
        <v>0</v>
      </c>
      <c r="F20" s="1">
        <f>Grid!$P$20</f>
        <v>0</v>
      </c>
      <c r="G20" s="1">
        <f>Grid!$Q$20</f>
        <v>0</v>
      </c>
      <c r="H20" s="1">
        <f>Grid!$R$20</f>
        <v>0</v>
      </c>
      <c r="I20" s="1">
        <f>Grid!$S$20</f>
        <v>0</v>
      </c>
      <c r="J20" s="1">
        <f>Grid!$T$20</f>
        <v>0</v>
      </c>
      <c r="K20" s="1">
        <v>2</v>
      </c>
      <c r="L20" s="1">
        <v>2</v>
      </c>
      <c r="M20" s="1">
        <f>IF(AND(J20=J19,I20&gt;I19),1,IF(AND(J21=J19,I21&gt;I19),1,IF(AND(J22=J19,I22&gt;I19),1,IF(AND(J21=J20,I21&gt;I20),1,IF(AND(J22=J20,I22&gt;I20),1,IF(AND(J22=J21,I22&gt;I21),1,0))))))</f>
        <v>0</v>
      </c>
      <c r="N20" s="1">
        <f>IF(AND(J20=J21,I20=I21),1,0)</f>
        <v>1</v>
      </c>
      <c r="O20" s="1">
        <f>IF(AND(N20=1,G20=G21),1,0)</f>
        <v>1</v>
      </c>
      <c r="P20" s="1">
        <f>SUM(N20+O20)</f>
        <v>2</v>
      </c>
      <c r="Q20" s="3" t="str">
        <f>IF(P20=2,"2&gt;3 ?","")</f>
        <v>2&gt;3 ?</v>
      </c>
    </row>
    <row r="21" spans="2:17" ht="11.25">
      <c r="B21" s="3" t="str">
        <f>Grid!$B$19</f>
        <v>Slovenia</v>
      </c>
      <c r="C21" s="1">
        <f>Grid!$M$19</f>
        <v>0</v>
      </c>
      <c r="D21" s="1">
        <f>Grid!$N$19</f>
        <v>0</v>
      </c>
      <c r="E21" s="1">
        <f>Grid!$O$19</f>
        <v>0</v>
      </c>
      <c r="F21" s="1">
        <f>Grid!$P$19</f>
        <v>0</v>
      </c>
      <c r="G21" s="1">
        <f>Grid!$Q$19</f>
        <v>0</v>
      </c>
      <c r="H21" s="1">
        <f>Grid!$R$19</f>
        <v>0</v>
      </c>
      <c r="I21" s="1">
        <f>Grid!$S$19</f>
        <v>0</v>
      </c>
      <c r="J21" s="1">
        <f>Grid!$T$19</f>
        <v>0</v>
      </c>
      <c r="K21" s="1">
        <v>3</v>
      </c>
      <c r="L21" s="1">
        <v>3</v>
      </c>
      <c r="N21" s="1">
        <f>IF(AND(J21=J22,I21=I22),1,0)</f>
        <v>1</v>
      </c>
      <c r="O21" s="1">
        <f>IF(AND(N21=1,G21=G22),1,0)</f>
        <v>1</v>
      </c>
      <c r="P21" s="1">
        <f>SUM(N21+O21)</f>
        <v>2</v>
      </c>
      <c r="Q21" s="3" t="str">
        <f>IF(P21=2,"3&gt;4 ?","")</f>
        <v>3&gt;4 ?</v>
      </c>
    </row>
    <row r="22" spans="2:17" ht="11.25">
      <c r="B22" s="3" t="str">
        <f>Grid!$B$18</f>
        <v>England</v>
      </c>
      <c r="C22" s="1">
        <f>Grid!$M$18</f>
        <v>0</v>
      </c>
      <c r="D22" s="1">
        <f>Grid!$N$18</f>
        <v>0</v>
      </c>
      <c r="E22" s="1">
        <f>Grid!$O$18</f>
        <v>0</v>
      </c>
      <c r="F22" s="1">
        <f>Grid!$P$18</f>
        <v>0</v>
      </c>
      <c r="G22" s="1">
        <f>Grid!$Q$18</f>
        <v>0</v>
      </c>
      <c r="H22" s="1">
        <f>Grid!$R$18</f>
        <v>0</v>
      </c>
      <c r="I22" s="1">
        <f>Grid!$S$18</f>
        <v>0</v>
      </c>
      <c r="J22" s="1">
        <f>Grid!$T$18</f>
        <v>0</v>
      </c>
      <c r="K22" s="1">
        <v>4</v>
      </c>
      <c r="L22" s="1">
        <v>4</v>
      </c>
      <c r="P22" s="1"/>
      <c r="Q22" s="3" t="str">
        <f>IF(SUM(P19:P21)=0,"Table OK","Swap?")</f>
        <v>Swap?</v>
      </c>
    </row>
    <row r="23" spans="13:15" ht="11.25">
      <c r="M23" s="1">
        <f>IF(SUM(M19:M22)=0,"","Sort Table")</f>
      </c>
      <c r="N23" s="1"/>
      <c r="O23" s="1"/>
    </row>
    <row r="25" spans="2:12" ht="11.25">
      <c r="B25" s="3" t="str">
        <f>Grid!$B$23</f>
        <v>Incomplete</v>
      </c>
      <c r="C25" s="1" t="str">
        <f>Grid!$M$23</f>
        <v>P</v>
      </c>
      <c r="D25" s="1" t="str">
        <f>Grid!$N$23</f>
        <v>W</v>
      </c>
      <c r="E25" s="1" t="str">
        <f>Grid!$O$23</f>
        <v>D</v>
      </c>
      <c r="F25" s="1" t="str">
        <f>Grid!$P$23</f>
        <v>L</v>
      </c>
      <c r="G25" s="1" t="str">
        <f>Grid!$Q$23</f>
        <v>F</v>
      </c>
      <c r="H25" s="1" t="str">
        <f>Grid!$R$23</f>
        <v>A</v>
      </c>
      <c r="I25" s="1" t="str">
        <f>Grid!$S$23</f>
        <v>GD</v>
      </c>
      <c r="J25" s="1" t="str">
        <f>Grid!$T$23</f>
        <v>Pts</v>
      </c>
      <c r="K25" s="1" t="s">
        <v>101</v>
      </c>
      <c r="L25" s="1" t="s">
        <v>102</v>
      </c>
    </row>
    <row r="26" spans="2:17" ht="11.25">
      <c r="B26" s="3" t="str">
        <f>Grid!$B$27</f>
        <v>France</v>
      </c>
      <c r="C26" s="1">
        <f>Grid!$M$27</f>
        <v>0</v>
      </c>
      <c r="D26" s="1">
        <f>Grid!$N$27</f>
        <v>0</v>
      </c>
      <c r="E26" s="1">
        <f>Grid!$O$27</f>
        <v>0</v>
      </c>
      <c r="F26" s="1">
        <f>Grid!$P$27</f>
        <v>0</v>
      </c>
      <c r="G26" s="1">
        <f>Grid!$Q$27</f>
        <v>0</v>
      </c>
      <c r="H26" s="1">
        <f>Grid!$R$27</f>
        <v>0</v>
      </c>
      <c r="I26" s="1">
        <f>Grid!$S$27</f>
        <v>0</v>
      </c>
      <c r="J26" s="1">
        <f>Grid!$T$27</f>
        <v>0</v>
      </c>
      <c r="K26" s="1">
        <v>1</v>
      </c>
      <c r="L26" s="1">
        <v>1</v>
      </c>
      <c r="M26" s="1">
        <f>IF(J27&gt;J26,1,IF(J28&gt;J26,1,IF(J29&gt;J26,1,IF(J28&gt;J27,1,IF(J29&gt;J27,1,IF(J29&gt;J28,1,0))))))</f>
        <v>0</v>
      </c>
      <c r="N26" s="1">
        <f>IF(AND(J26=J27,I26=I27),1,0)</f>
        <v>1</v>
      </c>
      <c r="O26" s="1">
        <f>IF(AND(N26=1,G26=G27),1,0)</f>
        <v>1</v>
      </c>
      <c r="P26" s="1">
        <f>SUM(N26+O26)</f>
        <v>2</v>
      </c>
      <c r="Q26" s="3" t="str">
        <f>IF(P26=2,"1&gt;2 ?","")</f>
        <v>1&gt;2 ?</v>
      </c>
    </row>
    <row r="27" spans="2:17" ht="11.25">
      <c r="B27" s="3" t="str">
        <f>Grid!$B$26</f>
        <v>Netherlands</v>
      </c>
      <c r="C27" s="1">
        <f>Grid!$M$26</f>
        <v>0</v>
      </c>
      <c r="D27" s="1">
        <f>Grid!$N$26</f>
        <v>0</v>
      </c>
      <c r="E27" s="1">
        <f>Grid!$O$26</f>
        <v>0</v>
      </c>
      <c r="F27" s="1">
        <f>Grid!$P$26</f>
        <v>0</v>
      </c>
      <c r="G27" s="1">
        <f>Grid!$Q$26</f>
        <v>0</v>
      </c>
      <c r="H27" s="1">
        <f>Grid!$R$26</f>
        <v>0</v>
      </c>
      <c r="I27" s="1">
        <f>Grid!$S$26</f>
        <v>0</v>
      </c>
      <c r="J27" s="1">
        <f>Grid!$T$26</f>
        <v>0</v>
      </c>
      <c r="K27" s="1">
        <v>2</v>
      </c>
      <c r="L27" s="1">
        <v>2</v>
      </c>
      <c r="M27" s="1">
        <f>IF(AND(J27=J26,I27&gt;I26),1,IF(AND(J28=J26,I28&gt;I26),1,IF(AND(J29=J26,I29&gt;I26),1,IF(AND(J28=J27,I28&gt;I27),1,IF(AND(J29=J27,I29&gt;I27),1,IF(AND(J29=J28,I29&gt;I28),1,0))))))</f>
        <v>0</v>
      </c>
      <c r="N27" s="1">
        <f>IF(AND(J27=J28,I27=I28),1,0)</f>
        <v>1</v>
      </c>
      <c r="O27" s="1">
        <f>IF(AND(N27=1,G27=G28),1,0)</f>
        <v>1</v>
      </c>
      <c r="P27" s="1">
        <f>SUM(N27+O27)</f>
        <v>2</v>
      </c>
      <c r="Q27" s="3" t="str">
        <f>IF(P27=2,"2&gt;3 ?","")</f>
        <v>2&gt;3 ?</v>
      </c>
    </row>
    <row r="28" spans="2:17" ht="11.25">
      <c r="B28" s="3" t="str">
        <f>Grid!$B$24</f>
        <v>Poland</v>
      </c>
      <c r="C28" s="1">
        <f>Grid!$M$24</f>
        <v>0</v>
      </c>
      <c r="D28" s="1">
        <f>Grid!$N$24</f>
        <v>0</v>
      </c>
      <c r="E28" s="1">
        <f>Grid!$O$24</f>
        <v>0</v>
      </c>
      <c r="F28" s="1">
        <f>Grid!$P$24</f>
        <v>0</v>
      </c>
      <c r="G28" s="1">
        <f>Grid!$Q$24</f>
        <v>0</v>
      </c>
      <c r="H28" s="1">
        <f>Grid!$R$24</f>
        <v>0</v>
      </c>
      <c r="I28" s="1">
        <f>Grid!$S$24</f>
        <v>0</v>
      </c>
      <c r="J28" s="1">
        <f>Grid!$T$24</f>
        <v>0</v>
      </c>
      <c r="K28" s="1">
        <v>3</v>
      </c>
      <c r="L28" s="1">
        <v>3</v>
      </c>
      <c r="N28" s="1">
        <f>IF(AND(J28=J29,I28=I29),1,0)</f>
        <v>1</v>
      </c>
      <c r="O28" s="1">
        <f>IF(AND(N28=1,G28=G29),1,0)</f>
        <v>1</v>
      </c>
      <c r="P28" s="1">
        <f>SUM(N28+O28)</f>
        <v>2</v>
      </c>
      <c r="Q28" s="3" t="str">
        <f>IF(P28=2,"3&gt;4 ?","")</f>
        <v>3&gt;4 ?</v>
      </c>
    </row>
    <row r="29" spans="2:17" ht="11.25">
      <c r="B29" s="3" t="str">
        <f>Grid!$B$25</f>
        <v>Austria</v>
      </c>
      <c r="C29" s="1">
        <f>Grid!$M$25</f>
        <v>0</v>
      </c>
      <c r="D29" s="1">
        <f>Grid!$N$25</f>
        <v>0</v>
      </c>
      <c r="E29" s="1">
        <f>Grid!$O$25</f>
        <v>0</v>
      </c>
      <c r="F29" s="1">
        <f>Grid!$P$25</f>
        <v>0</v>
      </c>
      <c r="G29" s="1">
        <f>Grid!$Q$25</f>
        <v>0</v>
      </c>
      <c r="H29" s="1">
        <f>Grid!$R$25</f>
        <v>0</v>
      </c>
      <c r="I29" s="1">
        <f>Grid!$S$25</f>
        <v>0</v>
      </c>
      <c r="J29" s="1">
        <f>Grid!$T$25</f>
        <v>0</v>
      </c>
      <c r="K29" s="1">
        <v>4</v>
      </c>
      <c r="L29" s="1">
        <v>4</v>
      </c>
      <c r="P29" s="1"/>
      <c r="Q29" s="3" t="str">
        <f>IF(SUM(P26:P28)=0,"Table OK","Swap?")</f>
        <v>Swap?</v>
      </c>
    </row>
    <row r="30" spans="13:15" ht="11.25">
      <c r="M30" s="1">
        <f>IF(SUM(M26:M29)=0,"","Sort Table")</f>
      </c>
      <c r="N30" s="1"/>
      <c r="O30" s="1"/>
    </row>
    <row r="32" spans="2:12" ht="11.25">
      <c r="B32" s="3" t="str">
        <f>Grid!$B$30</f>
        <v>Incomplete</v>
      </c>
      <c r="C32" s="1" t="str">
        <f>Grid!$M$30</f>
        <v>P</v>
      </c>
      <c r="D32" s="1" t="str">
        <f>Grid!$N$30</f>
        <v>W</v>
      </c>
      <c r="E32" s="1" t="str">
        <f>Grid!$O$30</f>
        <v>D</v>
      </c>
      <c r="F32" s="1" t="str">
        <f>Grid!$P$30</f>
        <v>L</v>
      </c>
      <c r="G32" s="1" t="str">
        <f>Grid!$Q$30</f>
        <v>F</v>
      </c>
      <c r="H32" s="1" t="str">
        <f>Grid!$R$30</f>
        <v>A</v>
      </c>
      <c r="I32" s="1" t="str">
        <f>Grid!$S$30</f>
        <v>GD</v>
      </c>
      <c r="J32" s="1" t="str">
        <f>Grid!$T$30</f>
        <v>Pts</v>
      </c>
      <c r="K32" s="1" t="s">
        <v>101</v>
      </c>
      <c r="L32" s="1" t="s">
        <v>102</v>
      </c>
    </row>
    <row r="33" spans="2:17" ht="11.25">
      <c r="B33" s="3" t="str">
        <f>Grid!$B$32</f>
        <v>Belgium</v>
      </c>
      <c r="C33" s="1">
        <f>Grid!$M$32</f>
        <v>0</v>
      </c>
      <c r="D33" s="1">
        <f>Grid!$N$32</f>
        <v>0</v>
      </c>
      <c r="E33" s="1">
        <f>Grid!$O$32</f>
        <v>0</v>
      </c>
      <c r="F33" s="1">
        <f>Grid!$P$32</f>
        <v>0</v>
      </c>
      <c r="G33" s="1">
        <f>Grid!$Q$32</f>
        <v>0</v>
      </c>
      <c r="H33" s="1">
        <f>Grid!$R$32</f>
        <v>0</v>
      </c>
      <c r="I33" s="1">
        <f>Grid!$S$32</f>
        <v>0</v>
      </c>
      <c r="J33" s="1">
        <f>Grid!$T$32</f>
        <v>0</v>
      </c>
      <c r="K33" s="1">
        <v>1</v>
      </c>
      <c r="L33" s="1">
        <v>1</v>
      </c>
      <c r="M33" s="1">
        <f>IF(J34&gt;J33,1,IF(J35&gt;J33,1,IF(J36&gt;J33,1,IF(J35&gt;J34,1,IF(J36&gt;J34,1,IF(J36&gt;J35,1,0))))))</f>
        <v>0</v>
      </c>
      <c r="N33" s="1">
        <f>IF(AND(J33=J34,I33=I34),1,0)</f>
        <v>1</v>
      </c>
      <c r="O33" s="1">
        <f>IF(AND(N33=1,G33=G34),1,0)</f>
        <v>1</v>
      </c>
      <c r="P33" s="1">
        <f>SUM(N33+O33)</f>
        <v>2</v>
      </c>
      <c r="Q33" s="3" t="str">
        <f>IF(P33=2,"1&gt;2 ?","")</f>
        <v>1&gt;2 ?</v>
      </c>
    </row>
    <row r="34" spans="2:17" ht="11.25">
      <c r="B34" s="3" t="str">
        <f>Grid!$B$31</f>
        <v>Romania</v>
      </c>
      <c r="C34" s="1">
        <f>Grid!$M$31</f>
        <v>0</v>
      </c>
      <c r="D34" s="1">
        <f>Grid!$N$31</f>
        <v>0</v>
      </c>
      <c r="E34" s="1">
        <f>Grid!$O$31</f>
        <v>0</v>
      </c>
      <c r="F34" s="1">
        <f>Grid!$P$31</f>
        <v>0</v>
      </c>
      <c r="G34" s="1">
        <f>Grid!$Q$31</f>
        <v>0</v>
      </c>
      <c r="H34" s="1">
        <f>Grid!$R$31</f>
        <v>0</v>
      </c>
      <c r="I34" s="1">
        <f>Grid!$S$31</f>
        <v>0</v>
      </c>
      <c r="J34" s="1">
        <f>Grid!$T$31</f>
        <v>0</v>
      </c>
      <c r="K34" s="1">
        <v>2</v>
      </c>
      <c r="L34" s="1">
        <v>2</v>
      </c>
      <c r="M34" s="1">
        <f>IF(AND(J34=J33,I34&gt;I33),1,IF(AND(J35=J33,I35&gt;I33),1,IF(AND(J36=J33,I36&gt;I33),1,IF(AND(J35=J34,I35&gt;I34),1,IF(AND(J36=J34,I36&gt;I34),1,IF(AND(J36=J35,I36&gt;I35),1,0))))))</f>
        <v>0</v>
      </c>
      <c r="N34" s="1">
        <f>IF(AND(J34=J35,I34=I35),1,0)</f>
        <v>1</v>
      </c>
      <c r="O34" s="1">
        <f>IF(AND(N34=1,G34=G35),1,0)</f>
        <v>1</v>
      </c>
      <c r="P34" s="1">
        <f>SUM(N34+O34)</f>
        <v>2</v>
      </c>
      <c r="Q34" s="3" t="str">
        <f>IF(P34=2,"2&gt;3 ?","")</f>
        <v>2&gt;3 ?</v>
      </c>
    </row>
    <row r="35" spans="2:17" ht="11.25">
      <c r="B35" s="3" t="str">
        <f>Grid!$B$34</f>
        <v>Slovakia</v>
      </c>
      <c r="C35" s="1">
        <f>Grid!$M$34</f>
        <v>0</v>
      </c>
      <c r="D35" s="1">
        <f>Grid!$N$34</f>
        <v>0</v>
      </c>
      <c r="E35" s="1">
        <f>Grid!$O$34</f>
        <v>0</v>
      </c>
      <c r="F35" s="1">
        <f>Grid!$P$34</f>
        <v>0</v>
      </c>
      <c r="G35" s="1">
        <f>Grid!$Q$34</f>
        <v>0</v>
      </c>
      <c r="H35" s="1">
        <f>Grid!$R$34</f>
        <v>0</v>
      </c>
      <c r="I35" s="1">
        <f>Grid!$S$34</f>
        <v>0</v>
      </c>
      <c r="J35" s="1">
        <f>Grid!$T$34</f>
        <v>0</v>
      </c>
      <c r="K35" s="1">
        <v>3</v>
      </c>
      <c r="L35" s="1">
        <v>3</v>
      </c>
      <c r="N35" s="1">
        <f>IF(AND(J35=J36,I35=I36),1,0)</f>
        <v>1</v>
      </c>
      <c r="O35" s="1">
        <f>IF(AND(N35=1,G35=G36),1,0)</f>
        <v>1</v>
      </c>
      <c r="P35" s="1">
        <f>SUM(N35+O35)</f>
        <v>2</v>
      </c>
      <c r="Q35" s="3" t="str">
        <f>IF(P35=2,"3&gt;4 ?","")</f>
        <v>3&gt;4 ?</v>
      </c>
    </row>
    <row r="36" spans="2:17" ht="11.25">
      <c r="B36" s="3" t="str">
        <f>Grid!$B$33</f>
        <v>Ukraine</v>
      </c>
      <c r="C36" s="1">
        <f>Grid!$M$33</f>
        <v>0</v>
      </c>
      <c r="D36" s="1">
        <f>Grid!$N$33</f>
        <v>0</v>
      </c>
      <c r="E36" s="1">
        <f>Grid!$O$33</f>
        <v>0</v>
      </c>
      <c r="F36" s="1">
        <f>Grid!$P$33</f>
        <v>0</v>
      </c>
      <c r="G36" s="1">
        <f>Grid!$Q$33</f>
        <v>0</v>
      </c>
      <c r="H36" s="1">
        <f>Grid!$R$33</f>
        <v>0</v>
      </c>
      <c r="I36" s="1">
        <f>Grid!$S$33</f>
        <v>0</v>
      </c>
      <c r="J36" s="1">
        <f>Grid!$T$33</f>
        <v>0</v>
      </c>
      <c r="K36" s="1">
        <v>4</v>
      </c>
      <c r="L36" s="1">
        <v>4</v>
      </c>
      <c r="P36" s="1"/>
      <c r="Q36" s="3" t="str">
        <f>IF(SUM(P33:P35)=0,"Table OK","Swap?")</f>
        <v>Swap?</v>
      </c>
    </row>
    <row r="37" spans="13:15" ht="11.25">
      <c r="M37" s="1">
        <f>IF(SUM(M33:M36)=0,"","Sort Table")</f>
      </c>
      <c r="N37" s="1"/>
      <c r="O37" s="1"/>
    </row>
    <row r="39" spans="2:12" ht="11.25">
      <c r="B39" s="3" t="str">
        <f>Grid!$B$37</f>
        <v>Incomplete</v>
      </c>
      <c r="C39" s="1" t="str">
        <f>Grid!$M$37</f>
        <v>P</v>
      </c>
      <c r="D39" s="1" t="str">
        <f>Grid!$N$37</f>
        <v>W</v>
      </c>
      <c r="E39" s="1" t="str">
        <f>Grid!$O$37</f>
        <v>D</v>
      </c>
      <c r="F39" s="1" t="str">
        <f>Grid!$P$37</f>
        <v>L</v>
      </c>
      <c r="G39" s="1" t="str">
        <f>Grid!$Q$37</f>
        <v>F</v>
      </c>
      <c r="H39" s="1" t="str">
        <f>Grid!$R$37</f>
        <v>A</v>
      </c>
      <c r="I39" s="1" t="str">
        <f>Grid!$S$37</f>
        <v>GD</v>
      </c>
      <c r="J39" s="1" t="str">
        <f>Grid!$T$37</f>
        <v>Pts</v>
      </c>
      <c r="K39" s="1" t="s">
        <v>101</v>
      </c>
      <c r="L39" s="1" t="s">
        <v>102</v>
      </c>
    </row>
    <row r="40" spans="2:17" ht="11.25">
      <c r="B40" s="3" t="str">
        <f>Grid!$B$39</f>
        <v>Portugal</v>
      </c>
      <c r="C40" s="1">
        <f>Grid!$M$39</f>
        <v>0</v>
      </c>
      <c r="D40" s="1">
        <f>Grid!$N$39</f>
        <v>0</v>
      </c>
      <c r="E40" s="1">
        <f>Grid!$O$39</f>
        <v>0</v>
      </c>
      <c r="F40" s="1">
        <f>Grid!$P$39</f>
        <v>0</v>
      </c>
      <c r="G40" s="1">
        <f>Grid!$Q$39</f>
        <v>0</v>
      </c>
      <c r="H40" s="1">
        <f>Grid!$R$39</f>
        <v>0</v>
      </c>
      <c r="I40" s="1">
        <f>Grid!$S$39</f>
        <v>0</v>
      </c>
      <c r="J40" s="1">
        <f>Grid!$T$39</f>
        <v>0</v>
      </c>
      <c r="K40" s="1">
        <v>1</v>
      </c>
      <c r="L40" s="1">
        <v>1</v>
      </c>
      <c r="M40" s="1">
        <f>IF(J41&gt;J40,1,IF(J42&gt;J40,1,IF(J43&gt;J40,1,IF(J42&gt;J41,1,IF(J43&gt;J41,1,IF(J43&gt;J42,1,0))))))</f>
        <v>0</v>
      </c>
      <c r="N40" s="1">
        <f>IF(AND(J40=J41,I40=I41),1,0)</f>
        <v>1</v>
      </c>
      <c r="O40" s="1">
        <f>IF(AND(N40=1,G40=G41),1,0)</f>
        <v>1</v>
      </c>
      <c r="P40" s="1">
        <f>SUM(N40+O40)</f>
        <v>2</v>
      </c>
      <c r="Q40" s="3" t="str">
        <f>IF(P40=2,"1&gt;2 ?","")</f>
        <v>1&gt;2 ?</v>
      </c>
    </row>
    <row r="41" spans="2:17" ht="11.25">
      <c r="B41" s="3" t="str">
        <f>Grid!$B$38</f>
        <v>Türkiye</v>
      </c>
      <c r="C41" s="1">
        <f>Grid!$M$38</f>
        <v>0</v>
      </c>
      <c r="D41" s="1">
        <f>Grid!$N$38</f>
        <v>0</v>
      </c>
      <c r="E41" s="1">
        <f>Grid!$O$38</f>
        <v>0</v>
      </c>
      <c r="F41" s="1">
        <f>Grid!$P$38</f>
        <v>0</v>
      </c>
      <c r="G41" s="1">
        <f>Grid!$Q$38</f>
        <v>0</v>
      </c>
      <c r="H41" s="1">
        <f>Grid!$R$38</f>
        <v>0</v>
      </c>
      <c r="I41" s="1">
        <f>Grid!$S$38</f>
        <v>0</v>
      </c>
      <c r="J41" s="1">
        <f>Grid!$T$38</f>
        <v>0</v>
      </c>
      <c r="K41" s="1">
        <v>2</v>
      </c>
      <c r="L41" s="1">
        <v>2</v>
      </c>
      <c r="M41" s="1">
        <f>IF(AND(J41=J40,I41&gt;I40),1,IF(AND(J42=J40,I42&gt;I40),1,IF(AND(J43=J40,I43&gt;I40),1,IF(AND(J42=J41,I42&gt;I41),1,IF(AND(J43=J41,I43&gt;I41),1,IF(AND(J43=J42,I43&gt;I42),1,0))))))</f>
        <v>0</v>
      </c>
      <c r="N41" s="1">
        <f>IF(AND(J41=J42,I41=I42),1,0)</f>
        <v>1</v>
      </c>
      <c r="O41" s="1">
        <f>IF(AND(N41=1,G41=G42),1,0)</f>
        <v>1</v>
      </c>
      <c r="P41" s="1">
        <f>SUM(N41+O41)</f>
        <v>2</v>
      </c>
      <c r="Q41" s="3" t="str">
        <f>IF(P41=2,"2&gt;3 ?","")</f>
        <v>2&gt;3 ?</v>
      </c>
    </row>
    <row r="42" spans="2:17" ht="11.25">
      <c r="B42" s="3" t="str">
        <f>Grid!$B$41</f>
        <v>Czechia</v>
      </c>
      <c r="C42" s="1">
        <f>Grid!$M$41</f>
        <v>0</v>
      </c>
      <c r="D42" s="1">
        <f>Grid!$N$41</f>
        <v>0</v>
      </c>
      <c r="E42" s="1">
        <f>Grid!$O$41</f>
        <v>0</v>
      </c>
      <c r="F42" s="1">
        <f>Grid!$P$41</f>
        <v>0</v>
      </c>
      <c r="G42" s="1">
        <f>Grid!$Q$41</f>
        <v>0</v>
      </c>
      <c r="H42" s="1">
        <f>Grid!$R$41</f>
        <v>0</v>
      </c>
      <c r="I42" s="1">
        <f>Grid!$S$41</f>
        <v>0</v>
      </c>
      <c r="J42" s="1">
        <f>Grid!$T$41</f>
        <v>0</v>
      </c>
      <c r="K42" s="1">
        <v>3</v>
      </c>
      <c r="L42" s="1">
        <v>3</v>
      </c>
      <c r="N42" s="1">
        <f>IF(AND(J42=J43,I42=I43),1,0)</f>
        <v>1</v>
      </c>
      <c r="O42" s="1">
        <f>IF(AND(N42=1,G42=G43),1,0)</f>
        <v>1</v>
      </c>
      <c r="P42" s="1">
        <f>SUM(N42+O42)</f>
        <v>2</v>
      </c>
      <c r="Q42" s="3" t="str">
        <f>IF(P42=2,"3&gt;4 ?","")</f>
        <v>3&gt;4 ?</v>
      </c>
    </row>
    <row r="43" spans="2:17" ht="11.25">
      <c r="B43" s="3" t="str">
        <f>Grid!$B$40</f>
        <v>Georgia</v>
      </c>
      <c r="C43" s="1">
        <f>Grid!$M$40</f>
        <v>0</v>
      </c>
      <c r="D43" s="1">
        <f>Grid!$N$40</f>
        <v>0</v>
      </c>
      <c r="E43" s="1">
        <f>Grid!$O$40</f>
        <v>0</v>
      </c>
      <c r="F43" s="1">
        <f>Grid!$P$40</f>
        <v>0</v>
      </c>
      <c r="G43" s="1">
        <f>Grid!$Q$40</f>
        <v>0</v>
      </c>
      <c r="H43" s="1">
        <f>Grid!$R$40</f>
        <v>0</v>
      </c>
      <c r="I43" s="1">
        <f>Grid!$S$40</f>
        <v>0</v>
      </c>
      <c r="J43" s="1">
        <f>Grid!$T$40</f>
        <v>0</v>
      </c>
      <c r="K43" s="1">
        <v>4</v>
      </c>
      <c r="L43" s="1">
        <v>4</v>
      </c>
      <c r="P43" s="1"/>
      <c r="Q43" s="3" t="str">
        <f>IF(SUM(P40:P42)=0,"Table OK","Swap?")</f>
        <v>Swap?</v>
      </c>
    </row>
    <row r="44" spans="13:15" ht="11.25">
      <c r="M44" s="1">
        <f>IF(SUM(M40:M43)=0,"","Sort Table")</f>
      </c>
      <c r="N44" s="1"/>
      <c r="O44" s="1"/>
    </row>
    <row r="47" spans="2:12" ht="11.25">
      <c r="B47" s="3" t="s">
        <v>14</v>
      </c>
      <c r="C47" s="1" t="str">
        <f>Grid!$M$37</f>
        <v>P</v>
      </c>
      <c r="D47" s="1" t="str">
        <f>Grid!$N$37</f>
        <v>W</v>
      </c>
      <c r="E47" s="1" t="str">
        <f>Grid!$O$37</f>
        <v>D</v>
      </c>
      <c r="F47" s="1" t="str">
        <f>Grid!$P$37</f>
        <v>L</v>
      </c>
      <c r="G47" s="1" t="str">
        <f>Grid!$Q$37</f>
        <v>F</v>
      </c>
      <c r="H47" s="1" t="str">
        <f>Grid!$R$37</f>
        <v>A</v>
      </c>
      <c r="I47" s="1" t="str">
        <f>Grid!$S$37</f>
        <v>GD</v>
      </c>
      <c r="J47" s="1" t="str">
        <f>Grid!$T$37</f>
        <v>Pts</v>
      </c>
      <c r="K47" s="1" t="s">
        <v>101</v>
      </c>
      <c r="L47" s="1" t="s">
        <v>102</v>
      </c>
    </row>
    <row r="48" spans="1:17" ht="11.25">
      <c r="A48" s="2" t="s">
        <v>103</v>
      </c>
      <c r="B48" s="3" t="str">
        <f>$B$42</f>
        <v>Czechia</v>
      </c>
      <c r="C48" s="1">
        <f>$C$42</f>
        <v>0</v>
      </c>
      <c r="D48" s="1">
        <f>$D$42</f>
        <v>0</v>
      </c>
      <c r="E48" s="1">
        <f>$E$42</f>
        <v>0</v>
      </c>
      <c r="F48" s="1">
        <f>$F$42</f>
        <v>0</v>
      </c>
      <c r="G48" s="1">
        <f>$G$42</f>
        <v>0</v>
      </c>
      <c r="H48" s="1">
        <f>$H$42</f>
        <v>0</v>
      </c>
      <c r="I48" s="1">
        <f>$I$42</f>
        <v>0</v>
      </c>
      <c r="J48" s="1">
        <f>$J$42</f>
        <v>0</v>
      </c>
      <c r="K48" s="1">
        <v>1</v>
      </c>
      <c r="L48" s="1">
        <v>1</v>
      </c>
      <c r="M48" s="1">
        <f>IF(J49&gt;J48,1,IF(J50&gt;J48,1,IF(J51&gt;J48,1,IF(J52&gt;J48,1,IF(J53&gt;J48,1,IF(J50&gt;J49,1,IF(J51&gt;J49,1,IF(J51&gt;J50,1,0))))))))</f>
        <v>0</v>
      </c>
      <c r="N48" s="1">
        <f>IF(AND(J48=J49,I48=I49),1,0)</f>
        <v>1</v>
      </c>
      <c r="O48" s="1">
        <f>IF(AND(N48=1,G48=G49),1,0)</f>
        <v>1</v>
      </c>
      <c r="P48" s="1">
        <f>SUM(N48+O48)</f>
        <v>2</v>
      </c>
      <c r="Q48" s="3" t="str">
        <f>IF(P48=2,"1&gt;2 ?","")</f>
        <v>1&gt;2 ?</v>
      </c>
    </row>
    <row r="49" spans="1:17" ht="11.25">
      <c r="A49" s="2" t="s">
        <v>104</v>
      </c>
      <c r="B49" s="3" t="str">
        <f>$B$21</f>
        <v>Slovenia</v>
      </c>
      <c r="C49" s="1">
        <f>$C$21</f>
        <v>0</v>
      </c>
      <c r="D49" s="1">
        <f>$D$21</f>
        <v>0</v>
      </c>
      <c r="E49" s="1">
        <f>$E$21</f>
        <v>0</v>
      </c>
      <c r="F49" s="1">
        <f>$F$21</f>
        <v>0</v>
      </c>
      <c r="G49" s="1">
        <f>$G$21</f>
        <v>0</v>
      </c>
      <c r="H49" s="1">
        <f>$H$21</f>
        <v>0</v>
      </c>
      <c r="I49" s="1">
        <f>$I$21</f>
        <v>0</v>
      </c>
      <c r="J49" s="1">
        <f>$J$21</f>
        <v>0</v>
      </c>
      <c r="K49" s="1">
        <v>2</v>
      </c>
      <c r="L49" s="1">
        <v>2</v>
      </c>
      <c r="M49" s="1">
        <f>IF(AND(J49=J48,I49&gt;I48),1,IF(AND(J50=J48,I50&gt;I48),1,IF(AND(J51=J48,I51&gt;I48),1,IF(AND(J50=J49,I50&gt;I49),1,IF(AND(J51=J49,I51&gt;I49),1,IF(AND(J51=J50,I51&gt;I50),1,0))))))</f>
        <v>0</v>
      </c>
      <c r="N49" s="1">
        <f>IF(AND(J49=J50,I49=I50),1,0)</f>
        <v>1</v>
      </c>
      <c r="O49" s="1">
        <f>IF(AND(N49=1,G49=G50),1,0)</f>
        <v>1</v>
      </c>
      <c r="P49" s="1">
        <f>SUM(N49+O49)</f>
        <v>2</v>
      </c>
      <c r="Q49" s="3" t="str">
        <f>IF(P49=2,"2&gt;3 ?","")</f>
        <v>2&gt;3 ?</v>
      </c>
    </row>
    <row r="50" spans="1:17" ht="11.25">
      <c r="A50" s="2" t="s">
        <v>105</v>
      </c>
      <c r="B50" s="3" t="str">
        <f>$B$7</f>
        <v>Hungary</v>
      </c>
      <c r="C50" s="1">
        <f>$C$7</f>
        <v>0</v>
      </c>
      <c r="D50" s="1">
        <f>$D$7</f>
        <v>0</v>
      </c>
      <c r="E50" s="1">
        <f>$E$7</f>
        <v>0</v>
      </c>
      <c r="F50" s="1">
        <f>$F$7</f>
        <v>0</v>
      </c>
      <c r="G50" s="1">
        <f>$G$7</f>
        <v>0</v>
      </c>
      <c r="H50" s="1">
        <f>$H$7</f>
        <v>0</v>
      </c>
      <c r="I50" s="1">
        <f>$I$7</f>
        <v>0</v>
      </c>
      <c r="J50" s="1">
        <f>$J$7</f>
        <v>0</v>
      </c>
      <c r="K50" s="1">
        <v>3</v>
      </c>
      <c r="L50" s="1">
        <v>3</v>
      </c>
      <c r="N50" s="1">
        <f>IF(AND(J50=J51,I50=I51),1,0)</f>
        <v>1</v>
      </c>
      <c r="O50" s="1">
        <f>IF(AND(N50=1,G50=G51),1,0)</f>
        <v>1</v>
      </c>
      <c r="P50" s="1">
        <f>SUM(N50+O50)</f>
        <v>2</v>
      </c>
      <c r="Q50" s="3" t="str">
        <f>IF(P50=2,"3&gt;4 ?","")</f>
        <v>3&gt;4 ?</v>
      </c>
    </row>
    <row r="51" spans="1:17" ht="11.25">
      <c r="A51" s="2" t="s">
        <v>106</v>
      </c>
      <c r="B51" s="3" t="str">
        <f>$B$14</f>
        <v>Croatia</v>
      </c>
      <c r="C51" s="1">
        <f>$C$14</f>
        <v>0</v>
      </c>
      <c r="D51" s="1">
        <f>$D$14</f>
        <v>0</v>
      </c>
      <c r="E51" s="1">
        <f>$E$14</f>
        <v>0</v>
      </c>
      <c r="F51" s="1">
        <f>$F$14</f>
        <v>0</v>
      </c>
      <c r="G51" s="1">
        <f>$G$14</f>
        <v>0</v>
      </c>
      <c r="H51" s="1">
        <f>$H$14</f>
        <v>0</v>
      </c>
      <c r="I51" s="1">
        <f>$I$14</f>
        <v>0</v>
      </c>
      <c r="J51" s="1">
        <f>$J$14</f>
        <v>0</v>
      </c>
      <c r="K51" s="1">
        <v>4</v>
      </c>
      <c r="L51" s="1">
        <v>4</v>
      </c>
      <c r="N51" s="1">
        <f>IF(AND(J51=J52,I51=I52),1,0)</f>
        <v>1</v>
      </c>
      <c r="O51" s="1">
        <f>IF(AND(N51=1,G51=G52),1,0)</f>
        <v>1</v>
      </c>
      <c r="P51" s="1">
        <f>SUM(N51+O51)</f>
        <v>2</v>
      </c>
      <c r="Q51" s="3" t="str">
        <f>IF(P51=2,"4&gt;5 ?","")</f>
        <v>4&gt;5 ?</v>
      </c>
    </row>
    <row r="52" spans="1:17" ht="11.25">
      <c r="A52" s="2" t="s">
        <v>107</v>
      </c>
      <c r="B52" s="3" t="str">
        <f>$B$35</f>
        <v>Slovakia</v>
      </c>
      <c r="C52" s="1">
        <f>$C$35</f>
        <v>0</v>
      </c>
      <c r="D52" s="1">
        <f>$D$35</f>
        <v>0</v>
      </c>
      <c r="E52" s="1">
        <f>$E$35</f>
        <v>0</v>
      </c>
      <c r="F52" s="1">
        <f>$F$35</f>
        <v>0</v>
      </c>
      <c r="G52" s="1">
        <f>$G$35</f>
        <v>0</v>
      </c>
      <c r="H52" s="1">
        <f>$H$35</f>
        <v>0</v>
      </c>
      <c r="I52" s="1">
        <f>$I$35</f>
        <v>0</v>
      </c>
      <c r="J52" s="1">
        <f>$J$35</f>
        <v>0</v>
      </c>
      <c r="K52" s="1">
        <v>5</v>
      </c>
      <c r="L52" s="1">
        <v>5</v>
      </c>
      <c r="N52" s="1">
        <f>IF(AND(J52=J53,I52=I53),1,0)</f>
        <v>1</v>
      </c>
      <c r="O52" s="1">
        <f>IF(AND(N52=1,G52=G53),1,0)</f>
        <v>1</v>
      </c>
      <c r="P52" s="1">
        <f>SUM(N52+O52)</f>
        <v>2</v>
      </c>
      <c r="Q52" s="3" t="str">
        <f>IF(P52=2,"5&gt;6 ?","")</f>
        <v>5&gt;6 ?</v>
      </c>
    </row>
    <row r="53" spans="1:17" ht="11.25">
      <c r="A53" s="2" t="s">
        <v>108</v>
      </c>
      <c r="B53" s="3" t="str">
        <f>$B$28</f>
        <v>Poland</v>
      </c>
      <c r="C53" s="1">
        <f>$C$28</f>
        <v>0</v>
      </c>
      <c r="D53" s="1">
        <f>$D$28</f>
        <v>0</v>
      </c>
      <c r="E53" s="1">
        <f>$E$28</f>
        <v>0</v>
      </c>
      <c r="F53" s="1">
        <f>$F$28</f>
        <v>0</v>
      </c>
      <c r="G53" s="1">
        <f>$G$28</f>
        <v>0</v>
      </c>
      <c r="H53" s="1">
        <f>$H$28</f>
        <v>0</v>
      </c>
      <c r="I53" s="1">
        <f>$I$28</f>
        <v>0</v>
      </c>
      <c r="J53" s="1">
        <f>$J$28</f>
        <v>0</v>
      </c>
      <c r="K53" s="1">
        <v>6</v>
      </c>
      <c r="L53" s="1">
        <v>6</v>
      </c>
      <c r="Q53" s="3" t="str">
        <f>IF(SUM(P48:P52)=0,"Table OK","Swap?")</f>
        <v>Swap?</v>
      </c>
    </row>
    <row r="54" ht="11.25">
      <c r="M54" s="1">
        <f>IF(SUM(M48:M53)=0,"","Sort Table")</f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McRopod Concepts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 2024 - Germany</dc:title>
  <dc:subject/>
  <dc:creator>Alan Clark</dc:creator>
  <cp:keywords/>
  <dc:description/>
  <cp:lastModifiedBy>Alan Clark</cp:lastModifiedBy>
  <cp:lastPrinted>2024-01-26T01:21:59Z</cp:lastPrinted>
  <dcterms:created xsi:type="dcterms:W3CDTF">2001-06-04T12:16:43Z</dcterms:created>
  <dcterms:modified xsi:type="dcterms:W3CDTF">2024-03-26T23:57:09Z</dcterms:modified>
  <cp:category/>
  <cp:version/>
  <cp:contentType/>
  <cp:contentStatus/>
</cp:coreProperties>
</file>